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0" yWindow="0" windowWidth="28800" windowHeight="17480" activeTab="3"/>
  </bookViews>
  <sheets>
    <sheet name="Index" sheetId="1" r:id="rId1"/>
    <sheet name="11" sheetId="2" r:id="rId2"/>
    <sheet name="913" sheetId="3" r:id="rId3"/>
    <sheet name="935" sheetId="4" r:id="rId4"/>
    <sheet name="Calc" sheetId="5" r:id="rId5"/>
    <sheet name="Results" sheetId="6" r:id="rId6"/>
    <sheet name="HSummary" sheetId="7" r:id="rId7"/>
    <sheet name="Aggregates" sheetId="8" r:id="rId8"/>
  </sheets>
  <definedNames>
    <definedName name="_xlnm._FilterDatabase" localSheetId="0" hidden="1">Index!$A$23:$C$284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5" l="1"/>
  <c r="F33" i="5"/>
  <c r="B86" i="8"/>
  <c r="D33" i="5"/>
  <c r="B78" i="8"/>
  <c r="C33" i="5"/>
  <c r="B70" i="8"/>
  <c r="E33" i="5"/>
  <c r="B62" i="8"/>
  <c r="A1" i="8"/>
  <c r="D71" i="5"/>
  <c r="C71" i="5"/>
  <c r="B198" i="5"/>
  <c r="B256" i="5"/>
  <c r="C198" i="5"/>
  <c r="C256" i="5"/>
  <c r="D198" i="5"/>
  <c r="D256" i="5"/>
  <c r="E198" i="5"/>
  <c r="E256" i="5"/>
  <c r="F198" i="5"/>
  <c r="F256" i="5"/>
  <c r="G198" i="5"/>
  <c r="G256" i="5"/>
  <c r="H198" i="5"/>
  <c r="H256" i="5"/>
  <c r="I198" i="5"/>
  <c r="I256" i="5"/>
  <c r="C301" i="5"/>
  <c r="D301" i="5"/>
  <c r="E301" i="5"/>
  <c r="D322" i="5"/>
  <c r="B126" i="5"/>
  <c r="I71" i="5"/>
  <c r="J71" i="5"/>
  <c r="K71" i="5"/>
  <c r="L71" i="5"/>
  <c r="F71" i="5"/>
  <c r="I460" i="5"/>
  <c r="J460" i="5"/>
  <c r="N65" i="7"/>
  <c r="D126" i="5"/>
  <c r="D73" i="5"/>
  <c r="C73" i="5"/>
  <c r="B200" i="5"/>
  <c r="B258" i="5"/>
  <c r="C200" i="5"/>
  <c r="C258" i="5"/>
  <c r="D200" i="5"/>
  <c r="D258" i="5"/>
  <c r="E200" i="5"/>
  <c r="E258" i="5"/>
  <c r="F200" i="5"/>
  <c r="F258" i="5"/>
  <c r="G200" i="5"/>
  <c r="G258" i="5"/>
  <c r="H200" i="5"/>
  <c r="H258" i="5"/>
  <c r="I200" i="5"/>
  <c r="I258" i="5"/>
  <c r="C303" i="5"/>
  <c r="D303" i="5"/>
  <c r="E303" i="5"/>
  <c r="D324" i="5"/>
  <c r="B128" i="5"/>
  <c r="E73" i="5"/>
  <c r="B303" i="5"/>
  <c r="C324" i="5"/>
  <c r="C348" i="5"/>
  <c r="AD67" i="7"/>
  <c r="H73" i="5"/>
  <c r="I73" i="5"/>
  <c r="J73" i="5"/>
  <c r="K73" i="5"/>
  <c r="L73" i="5"/>
  <c r="C128" i="5"/>
  <c r="V67" i="7"/>
  <c r="X67" i="7"/>
  <c r="F73" i="5"/>
  <c r="R67" i="7"/>
  <c r="T67" i="7"/>
  <c r="E324" i="5"/>
  <c r="F324" i="5"/>
  <c r="G324" i="5"/>
  <c r="P67" i="7"/>
  <c r="D128" i="5"/>
  <c r="G20" i="6"/>
  <c r="G67" i="7"/>
  <c r="B20" i="6"/>
  <c r="B67" i="7"/>
  <c r="D72" i="5"/>
  <c r="C72" i="5"/>
  <c r="B199" i="5"/>
  <c r="B257" i="5"/>
  <c r="C199" i="5"/>
  <c r="C257" i="5"/>
  <c r="D199" i="5"/>
  <c r="D257" i="5"/>
  <c r="E199" i="5"/>
  <c r="E257" i="5"/>
  <c r="F199" i="5"/>
  <c r="F257" i="5"/>
  <c r="G199" i="5"/>
  <c r="G257" i="5"/>
  <c r="H199" i="5"/>
  <c r="H257" i="5"/>
  <c r="I199" i="5"/>
  <c r="I257" i="5"/>
  <c r="C302" i="5"/>
  <c r="D302" i="5"/>
  <c r="E302" i="5"/>
  <c r="D323" i="5"/>
  <c r="B127" i="5"/>
  <c r="E72" i="5"/>
  <c r="B302" i="5"/>
  <c r="C323" i="5"/>
  <c r="C347" i="5"/>
  <c r="AD66" i="7"/>
  <c r="H72" i="5"/>
  <c r="I72" i="5"/>
  <c r="J72" i="5"/>
  <c r="K72" i="5"/>
  <c r="L72" i="5"/>
  <c r="C127" i="5"/>
  <c r="V66" i="7"/>
  <c r="X66" i="7"/>
  <c r="F72" i="5"/>
  <c r="I461" i="5"/>
  <c r="J461" i="5"/>
  <c r="N66" i="7"/>
  <c r="D127" i="5"/>
  <c r="R66" i="7"/>
  <c r="T66" i="7"/>
  <c r="F323" i="5"/>
  <c r="G323" i="5"/>
  <c r="P66" i="7"/>
  <c r="G461" i="5"/>
  <c r="H461" i="5"/>
  <c r="J19" i="6"/>
  <c r="J66" i="7"/>
  <c r="I19" i="6"/>
  <c r="I66" i="7"/>
  <c r="G19" i="6"/>
  <c r="G66" i="7"/>
  <c r="B19" i="6"/>
  <c r="B66" i="7"/>
  <c r="E71" i="5"/>
  <c r="B301" i="5"/>
  <c r="C322" i="5"/>
  <c r="C346" i="5"/>
  <c r="AD65" i="7"/>
  <c r="H71" i="5"/>
  <c r="C126" i="5"/>
  <c r="V65" i="7"/>
  <c r="X65" i="7"/>
  <c r="R65" i="7"/>
  <c r="T65" i="7"/>
  <c r="F322" i="5"/>
  <c r="G322" i="5"/>
  <c r="P65" i="7"/>
  <c r="G460" i="5"/>
  <c r="H460" i="5"/>
  <c r="J18" i="6"/>
  <c r="J65" i="7"/>
  <c r="I18" i="6"/>
  <c r="I65" i="7"/>
  <c r="G18" i="6"/>
  <c r="G65" i="7"/>
  <c r="B18" i="6"/>
  <c r="B65" i="7"/>
  <c r="A1" i="7"/>
  <c r="A1" i="6"/>
  <c r="F128" i="5"/>
  <c r="F461" i="5"/>
  <c r="F127" i="5"/>
  <c r="F460" i="5"/>
  <c r="F126" i="5"/>
  <c r="G348" i="5"/>
  <c r="F348" i="5"/>
  <c r="E348" i="5"/>
  <c r="D348" i="5"/>
  <c r="B348" i="5"/>
  <c r="G347" i="5"/>
  <c r="F347" i="5"/>
  <c r="E347" i="5"/>
  <c r="D347" i="5"/>
  <c r="B347" i="5"/>
  <c r="G346" i="5"/>
  <c r="F346" i="5"/>
  <c r="E346" i="5"/>
  <c r="D346" i="5"/>
  <c r="B346" i="5"/>
  <c r="B324" i="5"/>
  <c r="E323" i="5"/>
  <c r="B323" i="5"/>
  <c r="E322" i="5"/>
  <c r="B322" i="5"/>
  <c r="I238" i="5"/>
  <c r="H238" i="5"/>
  <c r="G238" i="5"/>
  <c r="F238" i="5"/>
  <c r="E238" i="5"/>
  <c r="D238" i="5"/>
  <c r="C238" i="5"/>
  <c r="B238" i="5"/>
  <c r="I237" i="5"/>
  <c r="H237" i="5"/>
  <c r="G237" i="5"/>
  <c r="F237" i="5"/>
  <c r="E237" i="5"/>
  <c r="D237" i="5"/>
  <c r="C237" i="5"/>
  <c r="B237" i="5"/>
  <c r="I236" i="5"/>
  <c r="H236" i="5"/>
  <c r="G236" i="5"/>
  <c r="F236" i="5"/>
  <c r="E236" i="5"/>
  <c r="D236" i="5"/>
  <c r="C236" i="5"/>
  <c r="B236" i="5"/>
  <c r="I219" i="5"/>
  <c r="H219" i="5"/>
  <c r="G219" i="5"/>
  <c r="F219" i="5"/>
  <c r="E219" i="5"/>
  <c r="D219" i="5"/>
  <c r="C219" i="5"/>
  <c r="B219" i="5"/>
  <c r="I218" i="5"/>
  <c r="H218" i="5"/>
  <c r="G218" i="5"/>
  <c r="F218" i="5"/>
  <c r="E218" i="5"/>
  <c r="D218" i="5"/>
  <c r="C218" i="5"/>
  <c r="B218" i="5"/>
  <c r="I217" i="5"/>
  <c r="H217" i="5"/>
  <c r="G217" i="5"/>
  <c r="F217" i="5"/>
  <c r="E217" i="5"/>
  <c r="D217" i="5"/>
  <c r="C217" i="5"/>
  <c r="B217" i="5"/>
  <c r="G128" i="5"/>
  <c r="L180" i="5"/>
  <c r="K180" i="5"/>
  <c r="D160" i="5"/>
  <c r="H128" i="5"/>
  <c r="I128" i="5"/>
  <c r="J180" i="5"/>
  <c r="C160" i="5"/>
  <c r="I180" i="5"/>
  <c r="B160" i="5"/>
  <c r="H180" i="5"/>
  <c r="F180" i="5"/>
  <c r="E160" i="5"/>
  <c r="J128" i="5"/>
  <c r="E180" i="5"/>
  <c r="D180" i="5"/>
  <c r="C180" i="5"/>
  <c r="B180" i="5"/>
  <c r="G127" i="5"/>
  <c r="L179" i="5"/>
  <c r="K179" i="5"/>
  <c r="D159" i="5"/>
  <c r="H127" i="5"/>
  <c r="I127" i="5"/>
  <c r="J179" i="5"/>
  <c r="C159" i="5"/>
  <c r="I179" i="5"/>
  <c r="B159" i="5"/>
  <c r="H179" i="5"/>
  <c r="F179" i="5"/>
  <c r="E159" i="5"/>
  <c r="J127" i="5"/>
  <c r="E179" i="5"/>
  <c r="D179" i="5"/>
  <c r="C179" i="5"/>
  <c r="B179" i="5"/>
  <c r="G126" i="5"/>
  <c r="L178" i="5"/>
  <c r="K178" i="5"/>
  <c r="D158" i="5"/>
  <c r="H126" i="5"/>
  <c r="I126" i="5"/>
  <c r="J178" i="5"/>
  <c r="C158" i="5"/>
  <c r="I178" i="5"/>
  <c r="B158" i="5"/>
  <c r="H178" i="5"/>
  <c r="F178" i="5"/>
  <c r="E158" i="5"/>
  <c r="J126" i="5"/>
  <c r="E178" i="5"/>
  <c r="D178" i="5"/>
  <c r="C178" i="5"/>
  <c r="B178" i="5"/>
  <c r="F160" i="5"/>
  <c r="F159" i="5"/>
  <c r="F158" i="5"/>
  <c r="L148" i="5"/>
  <c r="K148" i="5"/>
  <c r="J148" i="5"/>
  <c r="I148" i="5"/>
  <c r="H148" i="5"/>
  <c r="F148" i="5"/>
  <c r="E148" i="5"/>
  <c r="D148" i="5"/>
  <c r="C148" i="5"/>
  <c r="B148" i="5"/>
  <c r="L147" i="5"/>
  <c r="K147" i="5"/>
  <c r="J147" i="5"/>
  <c r="I147" i="5"/>
  <c r="H147" i="5"/>
  <c r="F147" i="5"/>
  <c r="E147" i="5"/>
  <c r="D147" i="5"/>
  <c r="C147" i="5"/>
  <c r="B147" i="5"/>
  <c r="L146" i="5"/>
  <c r="K146" i="5"/>
  <c r="J146" i="5"/>
  <c r="I146" i="5"/>
  <c r="H146" i="5"/>
  <c r="F146" i="5"/>
  <c r="E146" i="5"/>
  <c r="D146" i="5"/>
  <c r="C146" i="5"/>
  <c r="B146" i="5"/>
  <c r="E128" i="5"/>
  <c r="E127" i="5"/>
  <c r="E126" i="5"/>
  <c r="G73" i="5"/>
  <c r="B73" i="5"/>
  <c r="G72" i="5"/>
  <c r="B72" i="5"/>
  <c r="G71" i="5"/>
  <c r="B71" i="5"/>
  <c r="G48" i="5"/>
  <c r="H48" i="5"/>
  <c r="M48" i="5"/>
  <c r="F48" i="5"/>
  <c r="L48" i="5"/>
  <c r="E48" i="5"/>
  <c r="K48" i="5"/>
  <c r="D48" i="5"/>
  <c r="J48" i="5"/>
  <c r="C48" i="5"/>
  <c r="I48" i="5"/>
  <c r="B48" i="5"/>
  <c r="A1" i="5"/>
  <c r="A1" i="4"/>
  <c r="A1" i="3"/>
  <c r="A1" i="2"/>
  <c r="A1" i="1"/>
  <c r="G146" i="5"/>
  <c r="M146" i="5"/>
  <c r="G147" i="5"/>
  <c r="M147" i="5"/>
  <c r="G148" i="5"/>
  <c r="M148" i="5"/>
  <c r="M178" i="5"/>
  <c r="M179" i="5"/>
  <c r="M180" i="5"/>
  <c r="G178" i="5"/>
  <c r="H346" i="5"/>
  <c r="G179" i="5"/>
  <c r="H347" i="5"/>
  <c r="G180" i="5"/>
  <c r="H348" i="5"/>
  <c r="B386" i="5"/>
  <c r="C386" i="5"/>
  <c r="D386" i="5"/>
  <c r="E386" i="5"/>
  <c r="F386" i="5"/>
  <c r="J386" i="5"/>
  <c r="K386" i="5"/>
  <c r="C460" i="5"/>
  <c r="C461" i="5"/>
  <c r="C462" i="5"/>
  <c r="G386" i="5"/>
  <c r="H386" i="5"/>
  <c r="I386" i="5"/>
  <c r="F462" i="5"/>
  <c r="L386" i="5"/>
  <c r="E430" i="5"/>
  <c r="D430" i="5"/>
  <c r="F430" i="5"/>
  <c r="G430" i="5"/>
  <c r="G462" i="5"/>
  <c r="I462" i="5"/>
  <c r="J462" i="5"/>
  <c r="B505" i="5"/>
  <c r="C505" i="5"/>
  <c r="H430" i="5"/>
  <c r="D505" i="5"/>
  <c r="M386" i="5"/>
  <c r="B430" i="5"/>
  <c r="C430" i="5"/>
  <c r="G505" i="5"/>
  <c r="L430" i="5"/>
  <c r="H505" i="5"/>
  <c r="C533" i="5"/>
  <c r="C534" i="5"/>
  <c r="C535" i="5"/>
  <c r="D460" i="5"/>
  <c r="E460" i="5"/>
  <c r="H18" i="6"/>
  <c r="K460" i="5"/>
  <c r="L460" i="5"/>
  <c r="I430" i="5"/>
  <c r="J430" i="5"/>
  <c r="M460" i="5"/>
  <c r="E505" i="5"/>
  <c r="K430" i="5"/>
  <c r="F505" i="5"/>
  <c r="B533" i="5"/>
  <c r="D533" i="5"/>
  <c r="F533" i="5"/>
  <c r="G533" i="5"/>
  <c r="F18" i="6"/>
  <c r="E18" i="6"/>
  <c r="B460" i="5"/>
  <c r="D18" i="6"/>
  <c r="E533" i="5"/>
  <c r="C18" i="6"/>
  <c r="K18" i="6"/>
  <c r="D461" i="5"/>
  <c r="E461" i="5"/>
  <c r="H19" i="6"/>
  <c r="K461" i="5"/>
  <c r="L461" i="5"/>
  <c r="M461" i="5"/>
  <c r="B534" i="5"/>
  <c r="D534" i="5"/>
  <c r="F534" i="5"/>
  <c r="G534" i="5"/>
  <c r="F19" i="6"/>
  <c r="E19" i="6"/>
  <c r="B461" i="5"/>
  <c r="D19" i="6"/>
  <c r="E534" i="5"/>
  <c r="C19" i="6"/>
  <c r="H462" i="5"/>
  <c r="J20" i="6"/>
  <c r="I20" i="6"/>
  <c r="D462" i="5"/>
  <c r="E462" i="5"/>
  <c r="H20" i="6"/>
  <c r="K462" i="5"/>
  <c r="L462" i="5"/>
  <c r="M462" i="5"/>
  <c r="B535" i="5"/>
  <c r="D535" i="5"/>
  <c r="F535" i="5"/>
  <c r="G535" i="5"/>
  <c r="F20" i="6"/>
  <c r="E20" i="6"/>
  <c r="B462" i="5"/>
  <c r="D20" i="6"/>
  <c r="E535" i="5"/>
  <c r="C20" i="6"/>
  <c r="L20" i="6"/>
  <c r="L19" i="6"/>
  <c r="L18" i="6"/>
  <c r="K19" i="6"/>
  <c r="K20" i="6"/>
  <c r="C65" i="7"/>
  <c r="D65" i="7"/>
  <c r="E65" i="7"/>
  <c r="F65" i="7"/>
  <c r="H65" i="7"/>
  <c r="L65" i="7"/>
  <c r="M65" i="7"/>
  <c r="K65" i="7"/>
  <c r="Q65" i="7"/>
  <c r="S65" i="7"/>
  <c r="O65" i="7"/>
  <c r="U65" i="7"/>
  <c r="W65" i="7"/>
  <c r="Y65" i="7"/>
  <c r="Z65" i="7"/>
  <c r="AA65" i="7"/>
  <c r="AB65" i="7"/>
  <c r="AC65" i="7"/>
  <c r="AE65" i="7"/>
  <c r="AF65" i="7"/>
  <c r="AG65" i="7"/>
  <c r="C66" i="7"/>
  <c r="D66" i="7"/>
  <c r="E66" i="7"/>
  <c r="F66" i="7"/>
  <c r="H66" i="7"/>
  <c r="L66" i="7"/>
  <c r="M66" i="7"/>
  <c r="K66" i="7"/>
  <c r="Q66" i="7"/>
  <c r="S66" i="7"/>
  <c r="O66" i="7"/>
  <c r="U66" i="7"/>
  <c r="W66" i="7"/>
  <c r="Y66" i="7"/>
  <c r="Z66" i="7"/>
  <c r="AA66" i="7"/>
  <c r="AB66" i="7"/>
  <c r="AC66" i="7"/>
  <c r="AE66" i="7"/>
  <c r="AF66" i="7"/>
  <c r="AG66" i="7"/>
  <c r="C67" i="7"/>
  <c r="D67" i="7"/>
  <c r="E67" i="7"/>
  <c r="F67" i="7"/>
  <c r="H67" i="7"/>
  <c r="I67" i="7"/>
  <c r="J67" i="7"/>
  <c r="L67" i="7"/>
  <c r="M67" i="7"/>
  <c r="O67" i="7"/>
  <c r="K67" i="7"/>
  <c r="Q67" i="7"/>
  <c r="S67" i="7"/>
  <c r="N67" i="7"/>
  <c r="U67" i="7"/>
  <c r="W67" i="7"/>
  <c r="Y67" i="7"/>
  <c r="Z67" i="7"/>
  <c r="AA67" i="7"/>
  <c r="AB67" i="7"/>
  <c r="AC67" i="7"/>
  <c r="AE67" i="7"/>
  <c r="AF67" i="7"/>
  <c r="AG67" i="7"/>
  <c r="D79" i="7"/>
  <c r="C79" i="7"/>
  <c r="E79" i="7"/>
  <c r="B13" i="8"/>
  <c r="C13" i="8"/>
  <c r="D13" i="8"/>
  <c r="E13" i="8"/>
  <c r="B25" i="8"/>
  <c r="C25" i="8"/>
  <c r="D25" i="8"/>
  <c r="E25" i="8"/>
  <c r="B38" i="8"/>
  <c r="C38" i="8"/>
  <c r="D38" i="8"/>
  <c r="E38" i="8"/>
  <c r="F38" i="8"/>
  <c r="B46" i="8"/>
  <c r="B54" i="8"/>
  <c r="B94" i="8"/>
  <c r="B102" i="8"/>
  <c r="B110" i="8"/>
  <c r="B118" i="8"/>
  <c r="B126" i="8"/>
  <c r="B134" i="8"/>
  <c r="B142" i="8"/>
  <c r="B150" i="8"/>
  <c r="B158" i="8"/>
  <c r="B166" i="8"/>
  <c r="B174" i="8"/>
  <c r="B182" i="8"/>
  <c r="B190" i="8"/>
  <c r="B198" i="8"/>
  <c r="B206" i="8"/>
</calcChain>
</file>

<file path=xl/sharedStrings.xml><?xml version="1.0" encoding="utf-8"?>
<sst xmlns="http://schemas.openxmlformats.org/spreadsheetml/2006/main" count="2430" uniqueCount="1272">
  <si>
    <t>1100. Company, charging year, data version</t>
  </si>
  <si>
    <t>Company</t>
  </si>
  <si>
    <t>Year</t>
  </si>
  <si>
    <t>Version</t>
  </si>
  <si>
    <t>Company, charging year, data version</t>
  </si>
  <si>
    <t>Illustrative DNO</t>
  </si>
  <si>
    <t>2013/2014</t>
  </si>
  <si>
    <t>DCP 183 worked example</t>
  </si>
  <si>
    <t>1105. Diversity allowance between level exit and GSP Group (from CDCM table 2611)</t>
  </si>
  <si>
    <t>GSP</t>
  </si>
  <si>
    <t>132kV circuits</t>
  </si>
  <si>
    <t>132kV/EHV</t>
  </si>
  <si>
    <t>EHV circuits</t>
  </si>
  <si>
    <t>EHV/HV</t>
  </si>
  <si>
    <t>132kV/HV</t>
  </si>
  <si>
    <t>Diversity allowance between level exit and GSP Group (from CDCM table 2611)</t>
  </si>
  <si>
    <t>1113. General inputs</t>
  </si>
  <si>
    <t>Days in year</t>
  </si>
  <si>
    <t>O&amp;M charging rate based on FBPQ data (£/kW/year)</t>
  </si>
  <si>
    <t>Annual hours in super red</t>
  </si>
  <si>
    <t>The amount of money that the DNO wants to raise from use of system charges, less transmission exit (£/year)</t>
  </si>
  <si>
    <t>Transmission exit charges (£/year)</t>
  </si>
  <si>
    <t>Direct cost (£/year)</t>
  </si>
  <si>
    <t>Indirect cost (£/year)</t>
  </si>
  <si>
    <t>Network rates (£/year)</t>
  </si>
  <si>
    <t>Average adjusted GP (£/year)</t>
  </si>
  <si>
    <t>GL term from the DG incentive revenue calculation (£/year)</t>
  </si>
  <si>
    <t>Total CDCM generation capacity 2005-2010 (kVA)</t>
  </si>
  <si>
    <t>Total CDCM generation capacity post-2010 (kVA)</t>
  </si>
  <si>
    <t>General inputs</t>
  </si>
  <si>
    <t>1122. Forecast system simultaneous maximum load (kW) from CDCM users (from CDCM table 2506)</t>
  </si>
  <si>
    <t>Forecast system simultaneous maximum load (kW) from CDCM users (from CDCM table 2506)</t>
  </si>
  <si>
    <t>1131. Assets in CDCM model (£) (from CDCM table 2705 or 2706)</t>
  </si>
  <si>
    <t>HV circuits</t>
  </si>
  <si>
    <t>HV/LV</t>
  </si>
  <si>
    <t>LV circuits</t>
  </si>
  <si>
    <t>LV customer</t>
  </si>
  <si>
    <t>HV customer</t>
  </si>
  <si>
    <t>Assets in CDCM model (£) (from CDCM table 2705 or 2706)</t>
  </si>
  <si>
    <t>1132. Override notional asset rate for 132kV/HV (£/kW)</t>
  </si>
  <si>
    <t>Override notional asset rate for 132kV/HV (£/kW)</t>
  </si>
  <si>
    <t>No override</t>
  </si>
  <si>
    <t>1133. Maximum network use factor</t>
  </si>
  <si>
    <t>Maximum network use factor</t>
  </si>
  <si>
    <t>#VALUE</t>
  </si>
  <si>
    <t>1134. Minimum network use factor</t>
  </si>
  <si>
    <t>Minimum network use factor</t>
  </si>
  <si>
    <t>1135. Loss adjustment factor to transmission for each network level (from CDCM table 2004)</t>
  </si>
  <si>
    <t>Loss adjustment factor to transmission for each network level (from CDCM table 2004)</t>
  </si>
  <si>
    <t>1190. Is this the master model containing all the tariff data?</t>
  </si>
  <si>
    <t>Is this the master model containing all the tariff data?</t>
  </si>
  <si>
    <t>Enter TRUE or FALSE</t>
  </si>
  <si>
    <t>FALSE</t>
  </si>
  <si>
    <t>1191. Baseline EDCM demand aggregates</t>
  </si>
  <si>
    <t>Baseline total EDCM peak time consumption (kW)</t>
  </si>
  <si>
    <t>Baseline total marginal effect of indirect cost adder (kVA)</t>
  </si>
  <si>
    <t>Baseline total marginal effect of demand adder (kVA)</t>
  </si>
  <si>
    <t>Baseline revenue from demand charge 1 (£/year)</t>
  </si>
  <si>
    <t>Baseline EDCM demand aggregates</t>
  </si>
  <si>
    <t>1192. Baseline EDCM generation aggregates</t>
  </si>
  <si>
    <t>Baseline total chargeable export capacity (kVA)</t>
  </si>
  <si>
    <t>Baseline total non-exempt 2005-2010 export capacity (kVA)</t>
  </si>
  <si>
    <t>Baseline total non-exempt post-2010 export capacity (kVA)</t>
  </si>
  <si>
    <t>Baseline net forecast EDCM generation revenue (£/year)</t>
  </si>
  <si>
    <t>Baseline EDCM generation aggregates</t>
  </si>
  <si>
    <t>1193. Baseline EDCM notional asset aggregates</t>
  </si>
  <si>
    <t>Baseline total sole use assets for demand (£)</t>
  </si>
  <si>
    <t>Baseline total sole use assets for generation (£)</t>
  </si>
  <si>
    <t>Baseline total notional capacity assets (£)</t>
  </si>
  <si>
    <t>Baseline total notional consumption assets (£)</t>
  </si>
  <si>
    <t>Baseline total non sole use notional assets subject to matching (£)</t>
  </si>
  <si>
    <t>Baseline EDCM notional asset aggregates</t>
  </si>
  <si>
    <t>913. LRIC power flow modelling data</t>
  </si>
  <si>
    <t>Location name/ID</t>
  </si>
  <si>
    <t>Demand or Generation</t>
  </si>
  <si>
    <t>Linked location (if any)</t>
  </si>
  <si>
    <t>Local charge 1 £/kVA/year</t>
  </si>
  <si>
    <t>Remote charge 1 £/kVA/year</t>
  </si>
  <si>
    <t>Not used</t>
  </si>
  <si>
    <t>Maximum demand run: kW</t>
  </si>
  <si>
    <t>Maximum demand run: kVAr</t>
  </si>
  <si>
    <t>#VALUE!</t>
  </si>
  <si>
    <t>935. Tariff data</t>
  </si>
  <si>
    <t>Name</t>
  </si>
  <si>
    <t>Maximum import capacity (kVA)</t>
  </si>
  <si>
    <t>Exempt export capacity (kVA)</t>
  </si>
  <si>
    <t>Non-exempt pre-2005 export capacity (kVA)</t>
  </si>
  <si>
    <t>Non-exempt 2005-2010 export capacity (kVA)</t>
  </si>
  <si>
    <t>Non-exempt post-2010 export capacity (kVA)</t>
  </si>
  <si>
    <t>Sole use asset MEAV (£)</t>
  </si>
  <si>
    <t>LRIC location</t>
  </si>
  <si>
    <t>Customer category for demand scaling</t>
  </si>
  <si>
    <t>Network use factor</t>
  </si>
  <si>
    <t>Super red kW import divided by kVA capacity</t>
  </si>
  <si>
    <t>Super red kVAr import divided by kVA capacity</t>
  </si>
  <si>
    <t>Proportion exposed to indirect cost allocation</t>
  </si>
  <si>
    <t>Capacity subject to DSM (kVA)</t>
  </si>
  <si>
    <t>Super red units exported (kWh)</t>
  </si>
  <si>
    <t>Capacity eligible for GSP generation credits (kW)</t>
  </si>
  <si>
    <t>Proportion eligible for charge 1 credits</t>
  </si>
  <si>
    <t>Days for which not a customer</t>
  </si>
  <si>
    <t>Hours in super-red for which not a customer</t>
  </si>
  <si>
    <t>Import charge in previous charging year (£/year)</t>
  </si>
  <si>
    <t>Export charge in previous charging year (£/year)</t>
  </si>
  <si>
    <t>LLFC import</t>
  </si>
  <si>
    <t>LLFC export</t>
  </si>
  <si>
    <t>Mr Full On</t>
  </si>
  <si>
    <t>Mr Load Manager</t>
  </si>
  <si>
    <t>Mr Generator</t>
  </si>
  <si>
    <t>VOID</t>
  </si>
  <si>
    <t xml:space="preserve"> </t>
  </si>
  <si>
    <t>4002. EHV asset levels</t>
  </si>
  <si>
    <t>Data sources:</t>
  </si>
  <si>
    <t>EHV asset levels</t>
  </si>
  <si>
    <t>4004. HV and LV network asset levels</t>
  </si>
  <si>
    <t>HV and LV network asset levels</t>
  </si>
  <si>
    <t>4006. HV and LV service asset levels</t>
  </si>
  <si>
    <t>HV and LV service asset levels</t>
  </si>
  <si>
    <t>4008. Aggregate data #1</t>
  </si>
  <si>
    <t>x1 = 1190. Is this the master model containing all the tariff data?</t>
  </si>
  <si>
    <t>x2 = 4002. EHV asset levels</t>
  </si>
  <si>
    <t>x3 = 1131. Assets in CDCM model (£) (from CDCM table 2705 or 2706)</t>
  </si>
  <si>
    <t>x4 = 4004. HV and LV network asset levels</t>
  </si>
  <si>
    <t>x5 = 4006. HV and LV service asset levels</t>
  </si>
  <si>
    <t>x6 = 1122. Forecast system simultaneous maximum load (kW) from CDCM users (from CDCM table 2506)</t>
  </si>
  <si>
    <t>Kind:</t>
  </si>
  <si>
    <t>Calculation</t>
  </si>
  <si>
    <t>Sum-product calculation</t>
  </si>
  <si>
    <t>Copy cells</t>
  </si>
  <si>
    <t>Formula:</t>
  </si>
  <si>
    <t>=IF(ISERROR(x1),TRUE,IF(x1="FALSE",FALSE,IF(x1=FALSE,FALSE,TRUE)))</t>
  </si>
  <si>
    <t>=SUMPRODUCT(x2, x3)</t>
  </si>
  <si>
    <t>=SUMPRODUCT(x4, x3)</t>
  </si>
  <si>
    <t>=SUMPRODUCT(x5, x3)</t>
  </si>
  <si>
    <t>= x6</t>
  </si>
  <si>
    <t>Is this the master model?</t>
  </si>
  <si>
    <t>EHV assets in CDCM model (£)</t>
  </si>
  <si>
    <t>HV and LV network assets in CDCM model (£)</t>
  </si>
  <si>
    <t>HV and LV service assets in CDCM model (£)</t>
  </si>
  <si>
    <t>Total CDCM peak time consumption (kW)</t>
  </si>
  <si>
    <t>Aggregate data #1</t>
  </si>
  <si>
    <t>4010. Aggregate data #2</t>
  </si>
  <si>
    <t>x1 = 1122. Forecast system simultaneous maximum load (kW) from CDCM users (from CDCM table 2506)</t>
  </si>
  <si>
    <t>x2 = 1131. Assets in CDCM model (£) (from CDCM table 2705 or 2706)</t>
  </si>
  <si>
    <t>x3 = 1135. Loss adjustment factor to transmission for each network level (from CDCM table 2004)</t>
  </si>
  <si>
    <t>x4 = 1132. Override notional asset rate for 132kV/HV (£/kW)</t>
  </si>
  <si>
    <t>x5 = Notional asset rate (£/kW)</t>
  </si>
  <si>
    <t>x6 = Notional asset rate for 132kV/HV (£/kW)</t>
  </si>
  <si>
    <t>Combine tables</t>
  </si>
  <si>
    <t>=IF(x1,x2/x1/x3,0)</t>
  </si>
  <si>
    <t>=IF(ISNUMBER(x4),IF(x4,x4,x5),x5)</t>
  </si>
  <si>
    <t>= x6 or x5</t>
  </si>
  <si>
    <t>Notional asset rate (£/kW)</t>
  </si>
  <si>
    <t>Notional asset rate for 132kV/HV (£/kW)</t>
  </si>
  <si>
    <t>Notional asset rate adjusted (£/kW)</t>
  </si>
  <si>
    <t>Aggregate data #2</t>
  </si>
  <si>
    <t>4012. Tariff-specific data #1</t>
  </si>
  <si>
    <t>x1 = 4008. Is this the master model?</t>
  </si>
  <si>
    <t>x2 = 935. Name (in Tariff data)</t>
  </si>
  <si>
    <t>x3 = 935. Maximum import capacity (kVA) (in Tariff data)</t>
  </si>
  <si>
    <t>x4 = 935. Days for which not a customer (in Tariff data)</t>
  </si>
  <si>
    <t>x5 = 1113. Days in year (in General inputs)</t>
  </si>
  <si>
    <t>x6 = Maximum import capacity adjusted for part-year (kVA)</t>
  </si>
  <si>
    <t>x7 = 935. Capacity subject to DSM (kVA) (in Tariff data)</t>
  </si>
  <si>
    <t>x8 = 935. Non-exempt pre-2005 export capacity (kVA) (in Tariff data)</t>
  </si>
  <si>
    <t>x9 = 935. Non-exempt 2005-2010 export capacity (kVA) (in Tariff data)</t>
  </si>
  <si>
    <t>x10 = 935. Non-exempt post-2010 export capacity (kVA) (in Tariff data)</t>
  </si>
  <si>
    <t>x11 = 935. Capacity eligible for GSP generation credits (kW) (in Tariff data)</t>
  </si>
  <si>
    <t>x12 = 935. Exempt export capacity (kVA) (in Tariff data)</t>
  </si>
  <si>
    <t>x13 = Non-exempt pre-2005 export capacity (kVA) adjusted for part-year</t>
  </si>
  <si>
    <t>x14 = Non-exempt 2005-2010 export capacity (kVA) adjusted for part-year</t>
  </si>
  <si>
    <t>x15 = Non-exempt post-2010 export capacity (kVA) adjusted for part-year</t>
  </si>
  <si>
    <t>=IF(OR(x1,NOT(ISERROR(SEARCH("[ADDED]",x2)))),1,IF(ISERROR(SEARCH("[REMOVED]",x2)),0,-1))</t>
  </si>
  <si>
    <t>=x3&lt;&gt;"VOID"</t>
  </si>
  <si>
    <t>=IF(x3="VOID",0,(x3*(1-x4/x5)))</t>
  </si>
  <si>
    <t>=x6-(x7*(1-x4/x5))</t>
  </si>
  <si>
    <t>=OR(x8&lt;&gt;"VOID",x9&lt;&gt;"VOID",x10&lt;&gt;"VOID")</t>
  </si>
  <si>
    <t>=IF(x11="VOID",0,x11*(1-x4/x5))</t>
  </si>
  <si>
    <t>=IF(x12="VOID",0,x12*(1-x4/x5))</t>
  </si>
  <si>
    <t>=IF(x8="VOID",0,x8*(1-x4/x5))</t>
  </si>
  <si>
    <t>=IF(x9="VOID",0,x9*(1-x4/x5))</t>
  </si>
  <si>
    <t>=IF(x10="VOID",0,x10*(1-x4/x5))</t>
  </si>
  <si>
    <t>=x13+x14+x15</t>
  </si>
  <si>
    <t>Weighting of each tariff for reconciliation of totals</t>
  </si>
  <si>
    <t>Has import charges?</t>
  </si>
  <si>
    <t>Maximum import capacity adjusted for part-year (kVA)</t>
  </si>
  <si>
    <t>Non-DSM import capacity adjusted for part-year (kVA)</t>
  </si>
  <si>
    <t>Has export charges?</t>
  </si>
  <si>
    <t>Capacity eligible for GSP generation credits (kW) adjusted for part-year</t>
  </si>
  <si>
    <t>Exempt export capacity (kVA) adjusted for part-year</t>
  </si>
  <si>
    <t>Non-exempt pre-2005 export capacity (kVA) adjusted for part-year</t>
  </si>
  <si>
    <t>Non-exempt 2005-2010 export capacity (kVA) adjusted for part-year</t>
  </si>
  <si>
    <t>Non-exempt post-2010 export capacity (kVA) adjusted for part-year</t>
  </si>
  <si>
    <t>Chargeable export capacity adjusted for part-year (kVA)</t>
  </si>
  <si>
    <t>4014. Rules applicable to customer categories</t>
  </si>
  <si>
    <t>Mapping of customer category to loss factor</t>
  </si>
  <si>
    <t>Treatment of network assets (1: capacity; 2+: consumption)</t>
  </si>
  <si>
    <t>Category 0000</t>
  </si>
  <si>
    <t>Category 1000</t>
  </si>
  <si>
    <t>Category 0100</t>
  </si>
  <si>
    <t>Category 1100</t>
  </si>
  <si>
    <t>Category 0010</t>
  </si>
  <si>
    <t>Category 0110</t>
  </si>
  <si>
    <t>Category 1110</t>
  </si>
  <si>
    <t>Category 0001</t>
  </si>
  <si>
    <t>Category 1001</t>
  </si>
  <si>
    <t>Category 0101</t>
  </si>
  <si>
    <t>Category 1101</t>
  </si>
  <si>
    <t>Category 0011</t>
  </si>
  <si>
    <t>Category 0111</t>
  </si>
  <si>
    <t>Category 1111</t>
  </si>
  <si>
    <t>Category 0002</t>
  </si>
  <si>
    <t>4016. Fixed parameter data #1</t>
  </si>
  <si>
    <t>EHV operating expenditure intensity</t>
  </si>
  <si>
    <t>Power factor in 500 MW model</t>
  </si>
  <si>
    <t>Factor for the allocation of capacity scaling</t>
  </si>
  <si>
    <t>Proportion of residual to go into fixed adder</t>
  </si>
  <si>
    <t>Fixed parameter data #1</t>
  </si>
  <si>
    <t>4018. Tariff-specific data #2</t>
  </si>
  <si>
    <t>x1 = 935. Super red kW import divided by kVA capacity (in Tariff data)</t>
  </si>
  <si>
    <t>x2 = 935. Hours in super-red for which not a customer (in Tariff data)</t>
  </si>
  <si>
    <t>x3 = 1113. Annual hours in super red (in General inputs)</t>
  </si>
  <si>
    <t>x6 = 4012. Maximum import capacity adjusted for part-year (kVA)</t>
  </si>
  <si>
    <t>x7 = 935. Sole use asset MEAV (£) (in Tariff data)</t>
  </si>
  <si>
    <t>x8 = 4012. Exempt export capacity (kVA) adjusted for part-year</t>
  </si>
  <si>
    <t>x9 = 4012. Chargeable export capacity adjusted for part-year (kVA)</t>
  </si>
  <si>
    <t>x10 = Sole use asset MEAV for demand (£)</t>
  </si>
  <si>
    <t>x11 = Sole use asset MEAV for non-exempt generation (£)</t>
  </si>
  <si>
    <t>x12 = 935. Customer category for demand scaling (in Tariff data)</t>
  </si>
  <si>
    <t>x13 = 1135. Loss adjustment factor to transmission for each network level (from CDCM table 2004)</t>
  </si>
  <si>
    <t>x14 = 4014. Mapping of customer category to loss factor (in Rules applicable to customer categories)</t>
  </si>
  <si>
    <t>x15 = Index of customer category</t>
  </si>
  <si>
    <t>x16 = Super red kW divided by kVA adjusted for part-year</t>
  </si>
  <si>
    <t>x17 = Loss factor to transmission</t>
  </si>
  <si>
    <t>x18 = 4016. Power factor in 500 MW model</t>
  </si>
  <si>
    <t>=x1*(1-x2/x3)/(1-x4/x5)</t>
  </si>
  <si>
    <t>=IF(x6,x7*x6/(x6+x8+x9),0)</t>
  </si>
  <si>
    <t>=IF(x9,x7*x9/(x6+x8+x9),0)</t>
  </si>
  <si>
    <t>=x10*(1-x4/x5)</t>
  </si>
  <si>
    <t>=x11*(1-x4/x5)</t>
  </si>
  <si>
    <t>=1+(38*MOD(x12,10)+(19*MOD(x12,100)+(19*MOD(x12,1000)+x12)/20)/10)/5</t>
  </si>
  <si>
    <t>=INDEX(x13,INDEX(x14,x15))</t>
  </si>
  <si>
    <t>=x16*x17</t>
  </si>
  <si>
    <t>=x17*x18</t>
  </si>
  <si>
    <t>Super red kW divided by kVA adjusted for part-year</t>
  </si>
  <si>
    <t>Sole use asset MEAV for demand (£)</t>
  </si>
  <si>
    <t>Sole use asset MEAV for non-exempt generation (£)</t>
  </si>
  <si>
    <t>Demand sole use asset MEAV adjusted for part-year (£)</t>
  </si>
  <si>
    <t>Generation sole use asset MEAV adjusted for part-year (£)</t>
  </si>
  <si>
    <t>Index of customer category</t>
  </si>
  <si>
    <t>Loss factor to transmission</t>
  </si>
  <si>
    <t>Peak-time active power consumption adjusted to transmission (kW/kVA)</t>
  </si>
  <si>
    <t>Active power equivalent of capacity adjusted to transmission (kW/kVA)</t>
  </si>
  <si>
    <t>4020. Tariff-specific data #3</t>
  </si>
  <si>
    <t>x1 = 4014. Treatment of network assets (1: capacity; 2+: consumption) (in Rules applicable to customer categories)</t>
  </si>
  <si>
    <t>x2 = 4018. Index of customer category</t>
  </si>
  <si>
    <t>x3 = 935. Network use factor (in Tariff data)</t>
  </si>
  <si>
    <t>x4 = 4018. Active power equivalent of capacity adjusted to transmission (kW/kVA)</t>
  </si>
  <si>
    <t>x5 = 1105. Diversity allowance between level exit and GSP Group (from CDCM table 2611)</t>
  </si>
  <si>
    <t>x6 = Adjusted network use by capacity</t>
  </si>
  <si>
    <t>x7 = 4010. Notional asset rate adjusted (£/kW)</t>
  </si>
  <si>
    <t>x8 = 4018. Peak-time active power consumption adjusted to transmission (kW/kVA)</t>
  </si>
  <si>
    <t>x9 = Adjusted network use by consumption</t>
  </si>
  <si>
    <t>Special calculation</t>
  </si>
  <si>
    <t>=IF(INDEX(x1,x2)=1,x3*x4/(1+x5),0)</t>
  </si>
  <si>
    <t>=SUMPRODUCT(x6, x7)</t>
  </si>
  <si>
    <t>=IF(INDEX(x1,x2)=1,x3*x8,0)</t>
  </si>
  <si>
    <t>=SUMPRODUCT(x9, x7)</t>
  </si>
  <si>
    <t>Adjusted network use by capacity</t>
  </si>
  <si>
    <t>Capacity assets (£/kVA)</t>
  </si>
  <si>
    <t>Adjusted network use by consumption</t>
  </si>
  <si>
    <t>Consumption assets (£/kVA)</t>
  </si>
  <si>
    <t>4022. Network use factors (second set)</t>
  </si>
  <si>
    <t>x1 = 1134. Minimum network use factor</t>
  </si>
  <si>
    <t>x2 = 935. Network use factor (in Tariff data)</t>
  </si>
  <si>
    <t>x3 = 1133. Maximum network use factor</t>
  </si>
  <si>
    <t>Calculation =MAX(x1+0,MIN(x2+0,x3+0))</t>
  </si>
  <si>
    <t>4024. Tariff-specific data #4</t>
  </si>
  <si>
    <t>x3 = 4022. Network use factors (second set)</t>
  </si>
  <si>
    <t>x6 = Second set of adjusted network use by capacity</t>
  </si>
  <si>
    <t>x9 = Second set of adjusted network use by consumption</t>
  </si>
  <si>
    <t>Second set of adjusted network use by capacity</t>
  </si>
  <si>
    <t>Second set of capacity assets (£/kVA)</t>
  </si>
  <si>
    <t>Second set of adjusted network use by consumption</t>
  </si>
  <si>
    <t>Second set of consumption assets (£/kVA)</t>
  </si>
  <si>
    <t>4026. Tariff-specific data #5</t>
  </si>
  <si>
    <t>x1 = 935. LRIC location (in Tariff data)</t>
  </si>
  <si>
    <t>x2 = 913. Location name/ID (in LRIC power flow modelling data)</t>
  </si>
  <si>
    <t>x3 = 913. Linked location (if any) (in LRIC power flow modelling data)</t>
  </si>
  <si>
    <t>x4 = Location</t>
  </si>
  <si>
    <t>x5 = Linked location 1</t>
  </si>
  <si>
    <t>x6 = Linked location 2</t>
  </si>
  <si>
    <t>x7 = Linked location 3</t>
  </si>
  <si>
    <t>x8 = Linked location 4</t>
  </si>
  <si>
    <t>x9 = Linked location 5</t>
  </si>
  <si>
    <t>x10 = Linked location 6</t>
  </si>
  <si>
    <t>=MATCH(x1,x2,0)</t>
  </si>
  <si>
    <t>=MATCH(INDEX(x3,x4),x2,0)</t>
  </si>
  <si>
    <t>=MATCH(INDEX(x3,x5),x2,0)</t>
  </si>
  <si>
    <t>=MATCH(INDEX(x3,x6),x2,0)</t>
  </si>
  <si>
    <t>=MATCH(INDEX(x3,x7),x2,0)</t>
  </si>
  <si>
    <t>=MATCH(INDEX(x3,x8),x2,0)</t>
  </si>
  <si>
    <t>=MATCH(INDEX(x3,x9),x2,0)</t>
  </si>
  <si>
    <t>=MATCH(INDEX(x3,x10),x2,0)</t>
  </si>
  <si>
    <t>Location</t>
  </si>
  <si>
    <t>Linked location 1</t>
  </si>
  <si>
    <t>Linked location 2</t>
  </si>
  <si>
    <t>Linked location 3</t>
  </si>
  <si>
    <t>Linked location 4</t>
  </si>
  <si>
    <t>Linked location 5</t>
  </si>
  <si>
    <t>Linked location 6</t>
  </si>
  <si>
    <t>Linked location 7</t>
  </si>
  <si>
    <t>4028. Tariff-specific data #6</t>
  </si>
  <si>
    <t>x1 = 4026. Location</t>
  </si>
  <si>
    <t>x2 = 913. Local charge 1 £/kVA/year (in LRIC power flow modelling data)</t>
  </si>
  <si>
    <t>x3 = 4026. Linked location 1</t>
  </si>
  <si>
    <t>x4 = 4026. Linked location 2</t>
  </si>
  <si>
    <t>x5 = 4026. Linked location 3</t>
  </si>
  <si>
    <t>x6 = 4026. Linked location 4</t>
  </si>
  <si>
    <t>x7 = 4026. Linked location 5</t>
  </si>
  <si>
    <t>x8 = 4026. Linked location 6</t>
  </si>
  <si>
    <t>x9 = 4026. Linked location 7</t>
  </si>
  <si>
    <t>=IF(ISNUMBER(x1),MAX(0,INDEX(x2,x1)),0)</t>
  </si>
  <si>
    <t>=IF(ISNUMBER(x3),MAX(0,INDEX(x2,x3)),0)</t>
  </si>
  <si>
    <t>=IF(ISNUMBER(x4),MAX(0,INDEX(x2,x4)),0)</t>
  </si>
  <si>
    <t>=IF(ISNUMBER(x5),MAX(0,INDEX(x2,x5)),0)</t>
  </si>
  <si>
    <t>=IF(ISNUMBER(x6),MAX(0,INDEX(x2,x6)),0)</t>
  </si>
  <si>
    <t>=IF(ISNUMBER(x7),MAX(0,INDEX(x2,x7)),0)</t>
  </si>
  <si>
    <t>=IF(ISNUMBER(x8),MAX(0,INDEX(x2,x8)),0)</t>
  </si>
  <si>
    <t>=IF(ISNUMBER(x9),MAX(0,INDEX(x2,x9)),0)</t>
  </si>
  <si>
    <t>Local charge 1 £/kVA/year at Location</t>
  </si>
  <si>
    <t>Local charge 1 £/kVA/year at Linked location 1</t>
  </si>
  <si>
    <t>Local charge 1 £/kVA/year at Linked location 2</t>
  </si>
  <si>
    <t>Local charge 1 £/kVA/year at Linked location 3</t>
  </si>
  <si>
    <t>Local charge 1 £/kVA/year at Linked location 4</t>
  </si>
  <si>
    <t>Local charge 1 £/kVA/year at Linked location 5</t>
  </si>
  <si>
    <t>Local charge 1 £/kVA/year at Linked location 6</t>
  </si>
  <si>
    <t>Local charge 1 £/kVA/year at Linked location 7</t>
  </si>
  <si>
    <t>4030. Tariff-specific data #7</t>
  </si>
  <si>
    <t>x2 = 913. Remote charge 1 £/kVA/year (in LRIC power flow modelling data)</t>
  </si>
  <si>
    <t>Network charge 1 £/kVA/year at Location</t>
  </si>
  <si>
    <t>Network charge 1 £/kVA/year at Linked location 1</t>
  </si>
  <si>
    <t>Network charge 1 £/kVA/year at Linked location 2</t>
  </si>
  <si>
    <t>Network charge 1 £/kVA/year at Linked location 3</t>
  </si>
  <si>
    <t>Network charge 1 £/kVA/year at Linked location 4</t>
  </si>
  <si>
    <t>Network charge 1 £/kVA/year at Linked location 5</t>
  </si>
  <si>
    <t>Network charge 1 £/kVA/year at Linked location 6</t>
  </si>
  <si>
    <t>Network charge 1 £/kVA/year at Linked location 7</t>
  </si>
  <si>
    <t>4032. Tariff-specific data #8</t>
  </si>
  <si>
    <t>x2 = 913. Maximum demand run: kW (in LRIC power flow modelling data)</t>
  </si>
  <si>
    <t>x3 = 913. Maximum demand run: kVAr (in LRIC power flow modelling data)</t>
  </si>
  <si>
    <t>x4 = 4026. Linked location 1</t>
  </si>
  <si>
    <t>x5 = 4026. Linked location 2</t>
  </si>
  <si>
    <t>x6 = 4026. Linked location 3</t>
  </si>
  <si>
    <t>x7 = 4026. Linked location 4</t>
  </si>
  <si>
    <t>x8 = 4026. Linked location 5</t>
  </si>
  <si>
    <t>x9 = 4026. Linked location 6</t>
  </si>
  <si>
    <t>x10 = 4026. Linked location 7</t>
  </si>
  <si>
    <t>=IF(ISNUMBER(x1),SQRT(INDEX(x2,x1)^2+INDEX(x3,x1)^2),0)</t>
  </si>
  <si>
    <t>=IF(ISNUMBER(x4),SQRT(INDEX(x2,x4)^2+INDEX(x3,x4)^2),0)</t>
  </si>
  <si>
    <t>=IF(ISNUMBER(x5),SQRT(INDEX(x2,x5)^2+INDEX(x3,x5)^2),0)</t>
  </si>
  <si>
    <t>=IF(ISNUMBER(x6),SQRT(INDEX(x2,x6)^2+INDEX(x3,x6)^2),0)</t>
  </si>
  <si>
    <t>=IF(ISNUMBER(x7),SQRT(INDEX(x2,x7)^2+INDEX(x3,x7)^2),0)</t>
  </si>
  <si>
    <t>=IF(ISNUMBER(x8),SQRT(INDEX(x2,x8)^2+INDEX(x3,x8)^2),0)</t>
  </si>
  <si>
    <t>=IF(ISNUMBER(x9),SQRT(INDEX(x2,x9)^2+INDEX(x3,x9)^2),0)</t>
  </si>
  <si>
    <t>=IF(ISNUMBER(x10),SQRT(INDEX(x2,x10)^2+INDEX(x3,x10)^2),0)</t>
  </si>
  <si>
    <t>Maximum demand run kVA at Location</t>
  </si>
  <si>
    <t>Maximum demand run kVA at Linked location 1</t>
  </si>
  <si>
    <t>Maximum demand run kVA at Linked location 2</t>
  </si>
  <si>
    <t>Maximum demand run kVA at Linked location 3</t>
  </si>
  <si>
    <t>Maximum demand run kVA at Linked location 4</t>
  </si>
  <si>
    <t>Maximum demand run kVA at Linked location 5</t>
  </si>
  <si>
    <t>Maximum demand run kVA at Linked location 6</t>
  </si>
  <si>
    <t>Maximum demand run kVA at Linked location 7</t>
  </si>
  <si>
    <t>4034. Tariff-specific data #9</t>
  </si>
  <si>
    <t>x1 = 4032. Maximum demand run kVA at Location</t>
  </si>
  <si>
    <t>x2 = 4032. Maximum demand run kVA at Linked location 1</t>
  </si>
  <si>
    <t>x3 = 4032. Maximum demand run kVA at Linked location 2</t>
  </si>
  <si>
    <t>x4 = 4032. Maximum demand run kVA at Linked location 3</t>
  </si>
  <si>
    <t>x5 = 4032. Maximum demand run kVA at Linked location 4</t>
  </si>
  <si>
    <t>x6 = 4032. Maximum demand run kVA at Linked location 5</t>
  </si>
  <si>
    <t>x7 = 4032. Maximum demand run kVA at Linked location 6</t>
  </si>
  <si>
    <t>x8 = 4032. Maximum demand run kVA at Linked location 7</t>
  </si>
  <si>
    <t>x9 = 4026. Location</t>
  </si>
  <si>
    <t>x10 = 4026. Linked location 1</t>
  </si>
  <si>
    <t>x11 = 4026. Linked location 2</t>
  </si>
  <si>
    <t>x12 = 4026. Linked location 3</t>
  </si>
  <si>
    <t>x13 = 4026. Linked location 4</t>
  </si>
  <si>
    <t>x14 = 4026. Linked location 5</t>
  </si>
  <si>
    <t>x15 = 4026. Linked location 6</t>
  </si>
  <si>
    <t>x16 = 4026. Linked location 7</t>
  </si>
  <si>
    <t>x17 = 4028. Local charge 1 £/kVA/year at Location</t>
  </si>
  <si>
    <t>x18 = 4028. Local charge 1 £/kVA/year at Linked location 1</t>
  </si>
  <si>
    <t>x19 = 4028. Local charge 1 £/kVA/year at Linked location 2</t>
  </si>
  <si>
    <t>x20 = 4028. Local charge 1 £/kVA/year at Linked location 3</t>
  </si>
  <si>
    <t>x21 = 4028. Local charge 1 £/kVA/year at Linked location 4</t>
  </si>
  <si>
    <t>x22 = 4028. Local charge 1 £/kVA/year at Linked location 5</t>
  </si>
  <si>
    <t>x23 = 4028. Local charge 1 £/kVA/year at Linked location 6</t>
  </si>
  <si>
    <t>x24 = 4028. Local charge 1 £/kVA/year at Linked location 7</t>
  </si>
  <si>
    <t>x25 = 4030. Network charge 1 £/kVA/year at Location</t>
  </si>
  <si>
    <t>x26 = 4030. Network charge 1 £/kVA/year at Linked location 1</t>
  </si>
  <si>
    <t>x27 = 4030. Network charge 1 £/kVA/year at Linked location 2</t>
  </si>
  <si>
    <t>x28 = 4030. Network charge 1 £/kVA/year at Linked location 3</t>
  </si>
  <si>
    <t>x29 = 4030. Network charge 1 £/kVA/year at Linked location 4</t>
  </si>
  <si>
    <t>x30 = 4030. Network charge 1 £/kVA/year at Linked location 5</t>
  </si>
  <si>
    <t>x31 = 4030. Network charge 1 £/kVA/year at Linked location 6</t>
  </si>
  <si>
    <t>x32 = 4030. Network charge 1 £/kVA/year at Linked location 7</t>
  </si>
  <si>
    <t>x33 = 913. Maximum demand run: kW (in LRIC power flow modelling data)</t>
  </si>
  <si>
    <t>x34 = Total active power in maximum demand scenario (kW)</t>
  </si>
  <si>
    <t>x35 = 913. Maximum demand run: kVAr (in LRIC power flow modelling data)</t>
  </si>
  <si>
    <t>=IF(x1+x2+x3+x4+x5+x6+x7+x8=0,IF(COUNT(x9,x10,x11,x12,x13,x14,x15,x16),(x17+x18+x19+x20+x21+x22+x23+x24)/COUNT(x9,x10,x11,x12,x13,x14,x15,x16),0),(x1*x17+x2*x18+x3*x19+x4*x20+x5*x21+x6*x22+x7*x23+x8*x24)/(x1+x2+x3+x4+x5+x6+x7+x8))</t>
  </si>
  <si>
    <t>=IF(x1+x2+x3+x4+x5+x6+x7+x8=0,IF(COUNT(x9,x10,x11,x12,x13,x14,x15,x16),(x25+x26+x27+x28+x29+x30+x31+x32)/COUNT(x9,x10,x11,x12,x13,x14,x15,x16),0),(x1*x25+x2*x26+x3*x27+x4*x28+x5*x29+x6*x30+x7*x31+x8*x32)/(x1+x2+x3+x4+x5+x6+x7+x8))</t>
  </si>
  <si>
    <t>=0-IF(ISNUMBER(x9),INDEX(x33,x9),0)-IF(ISNUMBER(x10),INDEX(x33,x10),0)-IF(ISNUMBER(x11),INDEX(x33,x11),0)-IF(ISNUMBER(x12),INDEX(x33,x12),0)-IF(ISNUMBER(x13),INDEX(x33,x13),0)-IF(ISNUMBER(x14),INDEX(x33,x14),0)-IF(ISNUMBER(x15),INDEX(x33,x15),0)-IF(ISNUMBER(x16),INDEX(x33,x16),0)</t>
  </si>
  <si>
    <t>=IF(x34=0,1,MAX(1,SQRT(x34^2+(IF(ISNUMBER(x9),INDEX(x35,x9),0)+IF(ISNUMBER(x10),INDEX(x35,x10),0)+IF(ISNUMBER(x11),INDEX(x35,x11),0)+IF(ISNUMBER(x12),INDEX(x35,x12),0)+IF(ISNUMBER(x13),INDEX(x35,x13),0)+IF(ISNUMBER(x14),INDEX(x35,x14),0)+IF(ISNUMBER(x15),INDEX(x35,x15),0)+IF(ISNUMBER(x16),INDEX(x35,x16),0))^2)/x34))</t>
  </si>
  <si>
    <t>Average local charge 1 (£/kVA/year)</t>
  </si>
  <si>
    <t>Average network charge 1 (£/kVA/year)</t>
  </si>
  <si>
    <t>Total active power in maximum demand scenario (kW)</t>
  </si>
  <si>
    <t>Inverse power factor, maximum demand (kVA/kW)</t>
  </si>
  <si>
    <t>4036. Tariff-specific data #10</t>
  </si>
  <si>
    <t>x1 = 4034. Average network charge 1 (£/kVA/year)</t>
  </si>
  <si>
    <t>x2 = 935. Super red kW import divided by kVA capacity (in Tariff data)</t>
  </si>
  <si>
    <t>x3 = 4034. Inverse power factor, maximum demand (kVA/kW)</t>
  </si>
  <si>
    <t>x4 = 1113. Days in year (in General inputs)</t>
  </si>
  <si>
    <t>x5 = 4034. Average local charge 1 (£/kVA/year)</t>
  </si>
  <si>
    <t>x6 = 1113. Annual hours in super red (in General inputs)</t>
  </si>
  <si>
    <t>x7 = 935. Proportion eligible for charge 1 credits (in Tariff data)</t>
  </si>
  <si>
    <t>x8 = 4012. Chargeable export capacity adjusted for part-year (kVA)</t>
  </si>
  <si>
    <t>x9 = Generation credit (before exempt adjustment) p/kWh</t>
  </si>
  <si>
    <t>x10 = 4012. Exempt export capacity (kVA) adjusted for part-year</t>
  </si>
  <si>
    <t>x11 = Generation credit (unrounded) p/kWh</t>
  </si>
  <si>
    <t>=100*(x1*x2*x3)/x4</t>
  </si>
  <si>
    <t>=100*x5/x4</t>
  </si>
  <si>
    <t>=100*(x1*x3)/x6</t>
  </si>
  <si>
    <t>=-100*x7*(x5+x1)/x6</t>
  </si>
  <si>
    <t>=IF(x8,(x9*x8/(x8+x10)),0)</t>
  </si>
  <si>
    <t>=ROUND(x11,3)</t>
  </si>
  <si>
    <t>Import demand charge p/kVA/day</t>
  </si>
  <si>
    <t>Import capacity charge p/kVA/day</t>
  </si>
  <si>
    <t>Super red rate p/kWh</t>
  </si>
  <si>
    <t>Generation credit (before exempt adjustment) p/kWh</t>
  </si>
  <si>
    <t>Generation credit (unrounded) p/kWh</t>
  </si>
  <si>
    <t>Export super-red unit rate (p/kWh)</t>
  </si>
  <si>
    <t>4038. Tariff-specific data #11</t>
  </si>
  <si>
    <t>x1 = 4012. Maximum import capacity adjusted for part-year (kVA)</t>
  </si>
  <si>
    <t>x2 = 4012. Non-DSM import capacity adjusted for part-year (kVA)</t>
  </si>
  <si>
    <t>x3 = 4036. Import capacity charge p/kVA/day</t>
  </si>
  <si>
    <t>x4 = 4036. Super red rate p/kWh</t>
  </si>
  <si>
    <t>x5 = 935. Super red kW import divided by kVA capacity (in Tariff data)</t>
  </si>
  <si>
    <t>x7 = 935. Hours in super-red for which not a customer (in Tariff data)</t>
  </si>
  <si>
    <t>x8 = 1113. Days in year (in General inputs)</t>
  </si>
  <si>
    <t>x9 = 935. Days for which not a customer (in Tariff data)</t>
  </si>
  <si>
    <t>x10 = 4016. Factor for the allocation of capacity scaling</t>
  </si>
  <si>
    <t>x11 = 4018. Super red kW divided by kVA adjusted for part-year</t>
  </si>
  <si>
    <t>x12 = 935. Proportion exposed to indirect cost allocation (in Tariff data)</t>
  </si>
  <si>
    <t>x13 = 4024. Second set of capacity assets (£/kVA)</t>
  </si>
  <si>
    <t>x14 = 4024. Second set of consumption assets (£/kVA)</t>
  </si>
  <si>
    <t>=IF(x1=0,0,(1-x2/x1)*(x3+IF(x5=0,0,(x4*x5*(x6-x7)/(x8-x9)))))</t>
  </si>
  <si>
    <t>=IF(x1=0,1,x2/x1)*x4</t>
  </si>
  <si>
    <t>=IF(x1=0,1,x2/x1)*x3</t>
  </si>
  <si>
    <t>=x6-x7</t>
  </si>
  <si>
    <t>=x1*(x10+x11)</t>
  </si>
  <si>
    <t>=x12*(x10+x11)</t>
  </si>
  <si>
    <t>=(x13+x14)*x1</t>
  </si>
  <si>
    <t>Adjustment to exceeded import capacity charge for DSM (p/kVA/day)</t>
  </si>
  <si>
    <t>Super red unit rate adjusted for DSM (p/kWh)</t>
  </si>
  <si>
    <t>Import capacity charge from charge 1 (p/kVA/day)</t>
  </si>
  <si>
    <t>Number of super-red hours connected in year</t>
  </si>
  <si>
    <t>Marginal revenue effect of demand adder</t>
  </si>
  <si>
    <t>Data for capacity-based allocation of indirect costs</t>
  </si>
  <si>
    <t>Non sole use notional assets subject to matching (£)</t>
  </si>
  <si>
    <t>4040. Aggregate data #3</t>
  </si>
  <si>
    <t>x1 = 1193. Baseline total sole use assets for demand (£) (in Baseline EDCM notional asset aggregates)</t>
  </si>
  <si>
    <t>x2 = 4008. Is this the master model?</t>
  </si>
  <si>
    <t>x3 = 4018. Demand sole use asset MEAV adjusted for part-year (£)</t>
  </si>
  <si>
    <t>x4 = 4012. Weighting of each tariff for reconciliation of totals</t>
  </si>
  <si>
    <t>x5 = 1193. Baseline total notional capacity assets (£) (in Baseline EDCM notional asset aggregates)</t>
  </si>
  <si>
    <t>x6 = 4020. Capacity assets (£/kVA)</t>
  </si>
  <si>
    <t>x7 = 4012. Maximum import capacity adjusted for part-year (kVA)</t>
  </si>
  <si>
    <t>x8 = 1193. Baseline total notional consumption assets (£) (in Baseline EDCM notional asset aggregates)</t>
  </si>
  <si>
    <t>x9 = 4020. Consumption assets (£/kVA)</t>
  </si>
  <si>
    <t>x10 = 1193. Baseline total sole use assets for generation (£) (in Baseline EDCM notional asset aggregates)</t>
  </si>
  <si>
    <t>x11 = 4018. Generation sole use asset MEAV adjusted for part-year (£)</t>
  </si>
  <si>
    <t>x12 = Total sole use assets for demand (£)</t>
  </si>
  <si>
    <t>x13 = Capacity assets (£)</t>
  </si>
  <si>
    <t>x14 = Consumption assets (£)</t>
  </si>
  <si>
    <t>x15 = Total sole use assets for generation (£)</t>
  </si>
  <si>
    <t>x16 = 1191. Baseline total EDCM peak time consumption (kW) (in Baseline EDCM demand aggregates)</t>
  </si>
  <si>
    <t>x17 = 4018. Peak-time active power consumption adjusted to transmission (kW/kVA)</t>
  </si>
  <si>
    <t>x18 = 4008. Total CDCM peak time consumption (kW)</t>
  </si>
  <si>
    <t>x19 = Total EDCM peak time consumption (kW)</t>
  </si>
  <si>
    <t>x20 = 1113. Transmission exit charges (£/year) (in General inputs)</t>
  </si>
  <si>
    <t>x21 = Estimated total peak-time consumption (kW)</t>
  </si>
  <si>
    <t>x22 = 1113. Direct cost (£/year) (in General inputs)</t>
  </si>
  <si>
    <t>x23 = All notional assets in EDCM (£)</t>
  </si>
  <si>
    <t>x24 = 4008. EHV assets in CDCM model (£)</t>
  </si>
  <si>
    <t>x25 = 4008. HV and LV network assets in CDCM model (£)</t>
  </si>
  <si>
    <t>x26 = 4008. HV and LV service assets in CDCM model (£)</t>
  </si>
  <si>
    <t>x27 = 4016. EHV operating expenditure intensity</t>
  </si>
  <si>
    <t>x28 = 1113. Network rates (£/year) (in General inputs)</t>
  </si>
  <si>
    <t>x29 = 1113. Indirect cost (£/year) (in General inputs)</t>
  </si>
  <si>
    <t>x30 = Indirect cost charging rate</t>
  </si>
  <si>
    <t>=IF(x2,0,x1)+SUMPRODUCT(x3,x4)</t>
  </si>
  <si>
    <t>=IF(x2,0,x5)+SUMPRODUCT(x6,x7,x4)</t>
  </si>
  <si>
    <t>=IF(x2,0,x8)+SUMPRODUCT(x9,x7,x4)</t>
  </si>
  <si>
    <t>=IF(x2,0,x10)+SUMPRODUCT(x11,x4)</t>
  </si>
  <si>
    <t>=x12+x13+x14+x15</t>
  </si>
  <si>
    <t>=IF(x2,0,x16)+SUMPRODUCT(x4,x17,x7)</t>
  </si>
  <si>
    <t>=x18+x19</t>
  </si>
  <si>
    <t>=x20/x21</t>
  </si>
  <si>
    <t>=x22/(x23+x24+(x25+x26)/x27)</t>
  </si>
  <si>
    <t>=x28/(x23+x24+x25+x26)</t>
  </si>
  <si>
    <t>=x29/(x23+x24+(x25+x26)/x27)</t>
  </si>
  <si>
    <t>=x30*(x23-x15)</t>
  </si>
  <si>
    <t>Total sole use assets for demand (£)</t>
  </si>
  <si>
    <t>Capacity assets (£)</t>
  </si>
  <si>
    <t>Consumption assets (£)</t>
  </si>
  <si>
    <t>Total sole use assets for generation (£)</t>
  </si>
  <si>
    <t>All notional assets in EDCM (£)</t>
  </si>
  <si>
    <t>Total EDCM peak time consumption (kW)</t>
  </si>
  <si>
    <t>Estimated total peak-time consumption (kW)</t>
  </si>
  <si>
    <t>Transmission exit charging rate (£/kW/year)</t>
  </si>
  <si>
    <t>Direct cost charging rate</t>
  </si>
  <si>
    <t>Network rates charging rate</t>
  </si>
  <si>
    <t>Indirect cost charging rate</t>
  </si>
  <si>
    <t>Indirect costs on EDCM demand (£/year)</t>
  </si>
  <si>
    <t>Aggregate data #3</t>
  </si>
  <si>
    <t>4042. Aggregate data #4</t>
  </si>
  <si>
    <t>x1 = 4040. Direct cost charging rate</t>
  </si>
  <si>
    <t>x2 = 4040. Capacity assets (£)</t>
  </si>
  <si>
    <t>x3 = 4040. Consumption assets (£)</t>
  </si>
  <si>
    <t>x4 = 4040. Network rates charging rate</t>
  </si>
  <si>
    <t>x5 = 1192. Baseline total chargeable export capacity (kVA) (in Baseline EDCM generation aggregates)</t>
  </si>
  <si>
    <t>x6 = 4008. Is this the master model?</t>
  </si>
  <si>
    <t>x7 = 4012. Chargeable export capacity adjusted for part-year (kVA)</t>
  </si>
  <si>
    <t>x8 = 4012. Weighting of each tariff for reconciliation of totals</t>
  </si>
  <si>
    <t>x9 = 1192. Baseline total non-exempt 2005-2010 export capacity (kVA) (in Baseline EDCM generation aggregates)</t>
  </si>
  <si>
    <t>x10 = 4012. Non-exempt 2005-2010 export capacity (kVA) adjusted for part-year</t>
  </si>
  <si>
    <t>x11 = 1192. Baseline total non-exempt post-2010 export capacity (kVA) (in Baseline EDCM generation aggregates)</t>
  </si>
  <si>
    <t>x12 = 4012. Non-exempt post-2010 export capacity (kVA) adjusted for part-year</t>
  </si>
  <si>
    <t>x13 = 1113. O&amp;M charging rate based on FBPQ data (£/kW/year) (in General inputs)</t>
  </si>
  <si>
    <t>x14 = Non-exempt 2005-2010 export capacity (kVA) adjusted for part-year (total)</t>
  </si>
  <si>
    <t>x15 = Chargeable export capacity adjusted for part-year (kVA) (total)</t>
  </si>
  <si>
    <t>x16 = 1113. Average adjusted GP (£/year) (in General inputs)</t>
  </si>
  <si>
    <t>x17 = Non-exempt post-2010 export capacity (kVA) adjusted for part-year (total)</t>
  </si>
  <si>
    <t>x18 = 1113. Total CDCM generation capacity post-2010 (kVA) (in General inputs)</t>
  </si>
  <si>
    <t>x19 = 1113. GL term from the DG incentive revenue calculation (£/year) (in General inputs)</t>
  </si>
  <si>
    <t>x20 = 1113. Total CDCM generation capacity 2005-2010 (kVA) (in General inputs)</t>
  </si>
  <si>
    <t>x21 = 1113. Days in year (in General inputs)</t>
  </si>
  <si>
    <t>x22 = 1191. Baseline revenue from demand charge 1 (£/year) (in Baseline EDCM demand aggregates)</t>
  </si>
  <si>
    <t>x23 = 4038. Import capacity charge from charge 1 (p/kVA/day)</t>
  </si>
  <si>
    <t>x24 = 4012. Maximum import capacity adjusted for part-year (kVA)</t>
  </si>
  <si>
    <t>x25 = 4038. Super red unit rate adjusted for DSM (p/kWh)</t>
  </si>
  <si>
    <t>x26 = 935. Super red kW import divided by kVA capacity (in Tariff data)</t>
  </si>
  <si>
    <t>x27 = 935. Maximum import capacity (kVA) (in Tariff data)</t>
  </si>
  <si>
    <t>x28 = 4038. Number of super-red hours connected in year</t>
  </si>
  <si>
    <t>x29 = 1191. Baseline total marginal effect of indirect cost adder (kVA) (in Baseline EDCM demand aggregates)</t>
  </si>
  <si>
    <t>x30 = 4038. Data for capacity-based allocation of indirect costs</t>
  </si>
  <si>
    <t>x31 = 4040. Indirect costs on EDCM demand (£/year)</t>
  </si>
  <si>
    <t>x32 = Total marginal effect of indirect cost adder</t>
  </si>
  <si>
    <t>x33 = 1191. Baseline total marginal effect of demand adder (kVA) (in Baseline EDCM demand aggregates)</t>
  </si>
  <si>
    <t>x34 = 4038. Marginal revenue effect of demand adder</t>
  </si>
  <si>
    <t>x35 = 1193. Baseline total non sole use notional assets subject to matching (£) (in Baseline EDCM notional asset aggregates)</t>
  </si>
  <si>
    <t>x36 = 4038. Non sole use notional assets subject to matching (£)</t>
  </si>
  <si>
    <t>=x1*(x2+x3)</t>
  </si>
  <si>
    <t>=x4*(x2+x3)</t>
  </si>
  <si>
    <t>=IF(x6,0,x5)+SUMPRODUCT(x7,x8)</t>
  </si>
  <si>
    <t>=IF(x6,0,x9)+SUMPRODUCT(x10,x8)</t>
  </si>
  <si>
    <t>=IF(x6,0,x11)+SUMPRODUCT(x12,x8)</t>
  </si>
  <si>
    <t>=(x13*(1-x14/x15)+(x16*x17/(x17+x18)+x19*x14/(x14+x20))/x15)*100/x21</t>
  </si>
  <si>
    <t>=IF(x6,0,x22)+(SUMPRODUCT(x8,x23,x24)+SUMPRODUCT(x8,x25,x26,x27,x28)/x21)*x21/100</t>
  </si>
  <si>
    <t>=IF(x6,0,x29)+SUMPRODUCT(x8,x30,x24)</t>
  </si>
  <si>
    <t>=IF(x31,x31/x32,0)</t>
  </si>
  <si>
    <t>=IF(x6,0,x33)+SUMPRODUCT(x8,x34)</t>
  </si>
  <si>
    <t>=IF(x6,0,x35)+SUMPRODUCT(x8,x36)</t>
  </si>
  <si>
    <t>Direct costs on EDCM demand except through sole use asset charges (£/year)</t>
  </si>
  <si>
    <t>Network rates on EDCM demand except through sole use asset charges (£/year)</t>
  </si>
  <si>
    <t>Chargeable export capacity adjusted for part-year (kVA) (total)</t>
  </si>
  <si>
    <t>Non-exempt 2005-2010 export capacity (kVA) adjusted for part-year (total)</t>
  </si>
  <si>
    <t>Non-exempt post-2010 export capacity (kVA) adjusted for part-year (total)</t>
  </si>
  <si>
    <t>Export capacity charge p/kVA/day</t>
  </si>
  <si>
    <t>Revenue from demand charge 1 (£/year)</t>
  </si>
  <si>
    <t>Total marginal effect of indirect cost adder</t>
  </si>
  <si>
    <t>Indirect costs application rate</t>
  </si>
  <si>
    <t>Total marginal revenue effect of demand adder</t>
  </si>
  <si>
    <t>Total non sole use notional assets subject to matching (£)</t>
  </si>
  <si>
    <t>Aggregate data #4</t>
  </si>
  <si>
    <t>4044. Tariff-specific data #12</t>
  </si>
  <si>
    <t>x1 = 4012. Has import charges?</t>
  </si>
  <si>
    <t>x2 = 1113. Days in year (in General inputs)</t>
  </si>
  <si>
    <t>x3 = 4018. Sole use asset MEAV for demand (£)</t>
  </si>
  <si>
    <t>x4 = 4040. Direct cost charging rate</t>
  </si>
  <si>
    <t>x5 = 4040. Network rates charging rate</t>
  </si>
  <si>
    <t>x6 = 4018. Generation sole use asset MEAV adjusted for part-year (£)</t>
  </si>
  <si>
    <t>x7 = 4018. Sole use asset MEAV for non-exempt generation (£)</t>
  </si>
  <si>
    <t>x8 = Export fixed charge (unrounded) p/day</t>
  </si>
  <si>
    <t>x10 = 4040. Transmission exit charging rate (£/kW/year)</t>
  </si>
  <si>
    <t>x11 = 4012. Capacity eligible for GSP generation credits (kW) adjusted for part-year</t>
  </si>
  <si>
    <t>x12 = 4012. Has export charges?</t>
  </si>
  <si>
    <t>x13 = 4042. Export capacity charge p/kVA/day</t>
  </si>
  <si>
    <t>x14 = Export capacity charge (unrounded) p/kVA/day</t>
  </si>
  <si>
    <t>x15 = Generation credit (unrounded) p/kVA/day</t>
  </si>
  <si>
    <t>x16 = Net export capacity charge (or credit) (unrounded) (p/kVA/day)</t>
  </si>
  <si>
    <t>x18 = Capacity charge p/kVA/day (exit only)</t>
  </si>
  <si>
    <t>x19 = 4038. Import capacity charge from charge 1 (p/kVA/day)</t>
  </si>
  <si>
    <t>x20 = Import capacity charge before scaling (p/kVA/day)</t>
  </si>
  <si>
    <t>x21 = 4042. Indirect costs application rate</t>
  </si>
  <si>
    <t>x22 = 4038. Data for capacity-based allocation of indirect costs</t>
  </si>
  <si>
    <t>=IF(x1,(100/x2*x3*(x4+x5)),0)</t>
  </si>
  <si>
    <t>=100/x2*x6*(x4+x5)</t>
  </si>
  <si>
    <t>=100/x2*x7*(x4+x5)</t>
  </si>
  <si>
    <t>=ROUND(x8,2)</t>
  </si>
  <si>
    <t>=IF(x9,-100*x10/x2*x11/x9,0)</t>
  </si>
  <si>
    <t>=IF(x12,x13,0)</t>
  </si>
  <si>
    <t>=ROUND(x14,2)</t>
  </si>
  <si>
    <t>=IF(x12,(x14+x15),0)</t>
  </si>
  <si>
    <t>=ROUND(x16,2)</t>
  </si>
  <si>
    <t>=100/x2*x10*x17</t>
  </si>
  <si>
    <t>=x20+x21*x22*100/x2</t>
  </si>
  <si>
    <t>Demand fixed charge p/day</t>
  </si>
  <si>
    <t>Generation fixed charge p/day (scaled for part year)</t>
  </si>
  <si>
    <t>Export fixed charge (unrounded) p/day</t>
  </si>
  <si>
    <t>Export fixed charge p/day</t>
  </si>
  <si>
    <t>Generation credit (unrounded) p/kVA/day</t>
  </si>
  <si>
    <t>Export capacity charge (unrounded) p/kVA/day</t>
  </si>
  <si>
    <t>Export capacity charge (p/kVA/day)</t>
  </si>
  <si>
    <t>Net export capacity charge (or credit) (unrounded) (p/kVA/day)</t>
  </si>
  <si>
    <t>Export capacity rate (p/kVA/day)</t>
  </si>
  <si>
    <t>Capacity charge p/kVA/day (exit only)</t>
  </si>
  <si>
    <t>Import capacity charge before scaling (p/kVA/day)</t>
  </si>
  <si>
    <t>Capacity charge after applying indirect cost charge p/kVA/day</t>
  </si>
  <si>
    <t>4046. Aggregate data #5</t>
  </si>
  <si>
    <t>x1 = 1192. Baseline net forecast EDCM generation revenue (£/year) (in Baseline EDCM generation aggregates)</t>
  </si>
  <si>
    <t>x3 = 4012. Weighting of each tariff for reconciliation of totals</t>
  </si>
  <si>
    <t>x4 = 4036. Export super-red unit rate (p/kWh)</t>
  </si>
  <si>
    <t>x5 = 935. Super red units exported (kWh) (in Tariff data)</t>
  </si>
  <si>
    <t>x6 = 4044. Export capacity rate (p/kVA/day)</t>
  </si>
  <si>
    <t>x9 = 4044. Generation fixed charge p/day (scaled for part year)</t>
  </si>
  <si>
    <t>x11 = 4040. Total EDCM peak time consumption (kW)</t>
  </si>
  <si>
    <t>x12 = 4040. Total sole use assets for demand (£)</t>
  </si>
  <si>
    <t>x13 = 4040. Capacity assets (£)</t>
  </si>
  <si>
    <t>x14 = 4040. Consumption assets (£)</t>
  </si>
  <si>
    <t>x15 = 4040. Direct cost charging rate</t>
  </si>
  <si>
    <t>x16 = 4040. Network rates charging rate</t>
  </si>
  <si>
    <t>x17 = 4040. Indirect cost charging rate</t>
  </si>
  <si>
    <t>x18 = 1113. The amount of money that the DNO wants to raise from use of system charges, less transmission exit (£/year) (in General inputs)</t>
  </si>
  <si>
    <t>x19 = 1113. Direct cost (£/year) (in General inputs)</t>
  </si>
  <si>
    <t>x20 = 1113. Indirect cost (£/year) (in General inputs)</t>
  </si>
  <si>
    <t>x21 = 1113. Network rates (£/year) (in General inputs)</t>
  </si>
  <si>
    <t>x22 = Net forecast EDCM generation revenue (£/year)</t>
  </si>
  <si>
    <t>x23 = 4008. EHV assets in CDCM model (£)</t>
  </si>
  <si>
    <t>x24 = 4008. HV and LV network assets in CDCM model (£)</t>
  </si>
  <si>
    <t>x25 = Demand revenue target pot (£/year)</t>
  </si>
  <si>
    <t>x26 = 4042. Revenue from demand charge 1 (£/year)</t>
  </si>
  <si>
    <t>x27 = Additional amount to be recovered (£/year)</t>
  </si>
  <si>
    <t>x28 = 4040. Indirect costs on EDCM demand (£/year)</t>
  </si>
  <si>
    <t>x29 = 4042. Direct costs on EDCM demand except through sole use asset charges (£/year)</t>
  </si>
  <si>
    <t>x30 = 4042. Network rates on EDCM demand except through sole use asset charges (£/year)</t>
  </si>
  <si>
    <t>x31 = Amount to be recovered from adders ex costs (£/year)</t>
  </si>
  <si>
    <t>x32 = 4016. Proportion of residual to go into fixed adder</t>
  </si>
  <si>
    <t>x33 = 4042. Total marginal revenue effect of demand adder</t>
  </si>
  <si>
    <t>x34 = Residual residual (£/year)</t>
  </si>
  <si>
    <t>x35 = 4042. Total non sole use notional assets subject to matching (£)</t>
  </si>
  <si>
    <t>=IF(x2,0,x1)+SUMPRODUCT(x3,x4,x5)/100+SUMPRODUCT(x3,x6,x7)*x8/100+SUMPRODUCT(x3,x9)*x8/100</t>
  </si>
  <si>
    <t>=x10*x11+(x12+x13+x14)*(x15+x16+x17)+(x13+x14)*(x18-x19-x20-x21-x22)/(x23+x24+x13+x14)</t>
  </si>
  <si>
    <t>=x25-x15*x12-x16*x12-x10*x11-x26</t>
  </si>
  <si>
    <t>=x27-x28-x29-x30</t>
  </si>
  <si>
    <t>=IF(x31,x32*x31/x33,0)</t>
  </si>
  <si>
    <t>=(1-x32)*(x27-x28-x29-x30)+x29+x30</t>
  </si>
  <si>
    <t>=IF(x34,x34/x35,0)</t>
  </si>
  <si>
    <t>Net forecast EDCM generation revenue (£/year)</t>
  </si>
  <si>
    <t>Demand revenue target pot (£/year)</t>
  </si>
  <si>
    <t>Additional amount to be recovered (£/year)</t>
  </si>
  <si>
    <t>Amount to be recovered from adders ex costs (£/year)</t>
  </si>
  <si>
    <t>Fixed adder ex indirects application rate</t>
  </si>
  <si>
    <t>Residual residual (£/year)</t>
  </si>
  <si>
    <t>Annual charge on assets</t>
  </si>
  <si>
    <t>Aggregate data #5</t>
  </si>
  <si>
    <t>4048. Tariff-specific data #13</t>
  </si>
  <si>
    <t>x1 = 4044. Capacity charge after applying indirect cost charge p/kVA/day</t>
  </si>
  <si>
    <t>x2 = 4046. Fixed adder ex indirects application rate</t>
  </si>
  <si>
    <t>x3 = 4016. Factor for the allocation of capacity scaling</t>
  </si>
  <si>
    <t>x4 = 4018. Super red kW divided by kVA adjusted for part-year</t>
  </si>
  <si>
    <t>x6 = 4046. Annual charge on assets</t>
  </si>
  <si>
    <t>x7 = 4024. Second set of capacity assets (£/kVA)</t>
  </si>
  <si>
    <t>x8 = 4024. Second set of consumption assets (£/kVA)</t>
  </si>
  <si>
    <t>x9 = 4036. Super red rate p/kWh</t>
  </si>
  <si>
    <t>x10 = 1113. Annual hours in super red (in General inputs)</t>
  </si>
  <si>
    <t>x11 = Capacity charge after applying fixed adder ex indirects p/kVA/day</t>
  </si>
  <si>
    <t>x12 = Demand scaling p/kVA/day</t>
  </si>
  <si>
    <t>x13 = 4012. Has import charges?</t>
  </si>
  <si>
    <t>x14 = 4038. Super red unit rate adjusted for DSM (p/kWh)</t>
  </si>
  <si>
    <t>x15 = Total import capacity charge p/kVA/day</t>
  </si>
  <si>
    <t>x16 = 935. Super red kW import divided by kVA capacity (in Tariff data)</t>
  </si>
  <si>
    <t>x17 = 935. Days for which not a customer (in Tariff data)</t>
  </si>
  <si>
    <t>x18 = 935. Hours in super-red for which not a customer (in Tariff data)</t>
  </si>
  <si>
    <t>x19 = Import capacity charge p/kVA/day</t>
  </si>
  <si>
    <t>x20 = 4038. Adjustment to exceeded import capacity charge for DSM (p/kVA/day)</t>
  </si>
  <si>
    <t>=x1+x2*(x3+x4)*100/x5</t>
  </si>
  <si>
    <t>=x6*(x7+x8)*100/x5</t>
  </si>
  <si>
    <t>=MAX(0-(x9*x4*x10/x5),x11+x12)</t>
  </si>
  <si>
    <t>=IF(x13,IF(x4=0,x14,MAX(0,MIN(x14,x14+(x15/x16*(x5-x17)/(x10-x18))))),0)</t>
  </si>
  <si>
    <t>=IF(x13,MAX(0,x15),0)</t>
  </si>
  <si>
    <t>=x19+x20</t>
  </si>
  <si>
    <t>Capacity charge after applying fixed adder ex indirects p/kVA/day</t>
  </si>
  <si>
    <t>Demand scaling p/kVA/day</t>
  </si>
  <si>
    <t>Total import capacity charge p/kVA/day</t>
  </si>
  <si>
    <t>Exceeded import capacity charge (p/kVA/day)</t>
  </si>
  <si>
    <t>4501. EDCM charge</t>
  </si>
  <si>
    <t>x1 = 935. Name (in Tariff data)</t>
  </si>
  <si>
    <t>x2 = 4048. Super red rate p/kWh</t>
  </si>
  <si>
    <t>x3 = 4044. Demand fixed charge p/day</t>
  </si>
  <si>
    <t>x4 = 4048. Import capacity charge p/kVA/day</t>
  </si>
  <si>
    <t>x5 = 4048. Exceeded import capacity charge (p/kVA/day)</t>
  </si>
  <si>
    <t>x6 = 4036. Export super-red unit rate (p/kWh)</t>
  </si>
  <si>
    <t>x7 = 4044. Export fixed charge p/day</t>
  </si>
  <si>
    <t>x8 = 4044. Export capacity rate (p/kVA/day)</t>
  </si>
  <si>
    <t>x9 = 4044. Export capacity charge (p/kVA/day)</t>
  </si>
  <si>
    <t>Checksum</t>
  </si>
  <si>
    <t>= x1</t>
  </si>
  <si>
    <t>=ROUND(x2,3)</t>
  </si>
  <si>
    <t>=ROUND(x3,2)</t>
  </si>
  <si>
    <t>=ROUND(x4,2)</t>
  </si>
  <si>
    <t>=ROUND(x5,2)</t>
  </si>
  <si>
    <t>= x7</t>
  </si>
  <si>
    <t>= x8</t>
  </si>
  <si>
    <t>=x9</t>
  </si>
  <si>
    <t/>
  </si>
  <si>
    <t>Import super-red unit rate (p/kWh)</t>
  </si>
  <si>
    <t>Import fixed charge (p/day)</t>
  </si>
  <si>
    <t>Import capacity rate (p/kVA/day)</t>
  </si>
  <si>
    <t>Import exceeded capacity rate (p/kVA/day)</t>
  </si>
  <si>
    <t>Export exceeded capacity rate (p/kVA/day)</t>
  </si>
  <si>
    <t>Tariff checksum 5</t>
  </si>
  <si>
    <t>Model checksum 7</t>
  </si>
  <si>
    <t>4601. Horizontal information</t>
  </si>
  <si>
    <t>x1 = 4501. Name (in Tariff data) (copy) (in EDCM charge)</t>
  </si>
  <si>
    <t>x2 = 4501. Import super-red unit rate (p/kWh) (in EDCM charge)</t>
  </si>
  <si>
    <t>x3 = 4501. Import fixed charge (p/day) (in EDCM charge)</t>
  </si>
  <si>
    <t>x4 = 4501. Import capacity rate (p/kVA/day) (in EDCM charge)</t>
  </si>
  <si>
    <t>x5 = 4501. Import exceeded capacity rate (p/kVA/day) (in EDCM charge)</t>
  </si>
  <si>
    <t>x6 = 4501. Export super-red unit rate (p/kWh) (copy) (in EDCM charge)</t>
  </si>
  <si>
    <t>x7 = 4501. Export fixed charge p/day (copy) (in EDCM charge)</t>
  </si>
  <si>
    <t>x8 = 4501. Export capacity rate (p/kVA/day) (copy) (in EDCM charge)</t>
  </si>
  <si>
    <t>x9 = 4501. Export exceeded capacity rate (p/kVA/day) (in EDCM charge)</t>
  </si>
  <si>
    <t>x10 = 1113. Days in year (in General inputs)</t>
  </si>
  <si>
    <t>x11 = 4012. Maximum import capacity adjusted for part-year (kVA)</t>
  </si>
  <si>
    <t>x12 = 1113. Annual hours in super red (in General inputs)</t>
  </si>
  <si>
    <t>x13 = 935. Hours in super-red for which not a customer (in Tariff data)</t>
  </si>
  <si>
    <t>x14 = 935. Days for which not a customer (in Tariff data)</t>
  </si>
  <si>
    <t>x15 = 935. Super red kW import divided by kVA capacity (in Tariff data)</t>
  </si>
  <si>
    <t>x16 = 4012. Chargeable export capacity adjusted for part-year (kVA)</t>
  </si>
  <si>
    <t>x17 = 4044. Export capacity rate (p/kVA/day)</t>
  </si>
  <si>
    <t>x18 = 4044. Export fixed charge p/day</t>
  </si>
  <si>
    <t>x19 = 4036. Export super-red unit rate (p/kWh)</t>
  </si>
  <si>
    <t>x20 = 935. Super red units exported (kWh) (in Tariff data)</t>
  </si>
  <si>
    <t>x21 = Capacity charge for demand (£/year) (in Horizontal information)</t>
  </si>
  <si>
    <t>x22 = Super red charge for demand (£/year) (in Horizontal information)</t>
  </si>
  <si>
    <t>x23 = Fixed charge for demand (£/year) (in Horizontal information)</t>
  </si>
  <si>
    <t>x24 = 935. Import charge in previous charging year (£/year) (in Tariff data)</t>
  </si>
  <si>
    <t>x25 = Total for demand (£/year) (in Horizontal information)</t>
  </si>
  <si>
    <t>x26 = Import charge in previous charging year (£/year) (in Tariff data) (copy) (in Horizontal information)</t>
  </si>
  <si>
    <t>x27 = Net capacity charge (or credit) for generation (£/year) (in Horizontal information)</t>
  </si>
  <si>
    <t>x28 = Fixed charge for generation (£/year) (in Horizontal information)</t>
  </si>
  <si>
    <t>x29 = Super red credit (£/year) (in Horizontal information)</t>
  </si>
  <si>
    <t>x30 = 935. Export charge in previous charging year (£/year) (in Tariff data)</t>
  </si>
  <si>
    <t>x31 = Total for generation (£/year) (in Horizontal information)</t>
  </si>
  <si>
    <t>x32 = Export charge in previous charging year (£/year) (in Tariff data) (copy) (in Horizontal information)</t>
  </si>
  <si>
    <t>x33 = 4044. Demand fixed charge p/day</t>
  </si>
  <si>
    <t>x34 = 4044. Capacity charge p/kVA/day (exit only)</t>
  </si>
  <si>
    <t>x35 = 4048. Demand scaling p/kVA/day</t>
  </si>
  <si>
    <t>x36 = 4048. Capacity charge after applying fixed adder ex indirects p/kVA/day</t>
  </si>
  <si>
    <t>x37 = 4036. Import demand charge p/kVA/day</t>
  </si>
  <si>
    <t>x38 = 4012. Non-DSM import capacity adjusted for part-year (kVA)</t>
  </si>
  <si>
    <t>x39 = 4042. Direct costs on EDCM demand except through sole use asset charges (£/year)</t>
  </si>
  <si>
    <t>x40 = 4046. Residual residual (£/year)</t>
  </si>
  <si>
    <t>x41 = 4042. Indirect costs application rate</t>
  </si>
  <si>
    <t>x42 = 4038. Data for capacity-based allocation of indirect costs</t>
  </si>
  <si>
    <t>x43 = 4042. Network rates on EDCM demand except through sole use asset charges (£/year)</t>
  </si>
  <si>
    <t>x44 = 4036. Import capacity charge p/kVA/day</t>
  </si>
  <si>
    <t>x45 = 4038. Super red unit rate adjusted for DSM (p/kWh)</t>
  </si>
  <si>
    <t>x46 = 4046. Fixed adder ex indirects application rate</t>
  </si>
  <si>
    <t>x47 = 4016. Factor for the allocation of capacity scaling</t>
  </si>
  <si>
    <t>x48 = 4018. Super red kW divided by kVA adjusted for part-year</t>
  </si>
  <si>
    <t>x49 = Fixed charge for demand (unrounded) (£/year) (in Horizontal information)</t>
  </si>
  <si>
    <t>x50 = Transmission exit charge (£/year) (in Horizontal information)</t>
  </si>
  <si>
    <t>x51 = Direct cost allocation (£/year) (in Horizontal information)</t>
  </si>
  <si>
    <t>x52 = Indirect cost allocation (£/year) (in Horizontal information)</t>
  </si>
  <si>
    <t>x53 = Network rates allocation (£/year) (in Horizontal information)</t>
  </si>
  <si>
    <t>x54 = FCP/LRIC charge (£/year) (in Horizontal information)</t>
  </si>
  <si>
    <t>x55 = Demand scaling fixed adder (£/year) (in Horizontal information)</t>
  </si>
  <si>
    <t>x56 = Demand scaling asset based (£/year) (in Horizontal information)</t>
  </si>
  <si>
    <t>= x2</t>
  </si>
  <si>
    <t>= x3</t>
  </si>
  <si>
    <t>= x4</t>
  </si>
  <si>
    <t>= x5</t>
  </si>
  <si>
    <t>= x9</t>
  </si>
  <si>
    <t>=0.01*x10*x11*x4</t>
  </si>
  <si>
    <t>=0.01*(x12-x13)*x2*x11*(x10/(x10-x14))*x15</t>
  </si>
  <si>
    <t>=0.01*(x10-x14)*x3</t>
  </si>
  <si>
    <t>=0.01*x10*x16*x17</t>
  </si>
  <si>
    <t>=0.01*(x10-x14)*x18</t>
  </si>
  <si>
    <t>=0.01*x19*x20</t>
  </si>
  <si>
    <t>=x21+x22+x23</t>
  </si>
  <si>
    <t>= x24</t>
  </si>
  <si>
    <t>=x25-x26</t>
  </si>
  <si>
    <t>=IF(x26,x25/x26-1,"")</t>
  </si>
  <si>
    <t>=x27+x28+x29</t>
  </si>
  <si>
    <t>= x30</t>
  </si>
  <si>
    <t>=x31-x32</t>
  </si>
  <si>
    <t>=IF(x32,x31/x32-1,"")</t>
  </si>
  <si>
    <t>=0.01*(x10-x14)*x33</t>
  </si>
  <si>
    <t>=0.01*x10*x11*x34</t>
  </si>
  <si>
    <t>=x11*MAX(x35,0-(x36+IF(x15=0,0,(1-x13/x12)*x10/(x10-x14)*IF(x11=0,1,x38/x11)*x37)))*x10*0.01*x39/x40</t>
  </si>
  <si>
    <t>=x11*x41*x42</t>
  </si>
  <si>
    <t>=x11*MAX(x35,0-(x36+IF(x15=0,0,(1-x13/x12)*x10/(x10-x14)*IF(x11=0,1,x38/x11)*x37)))*x10*0.01*x43/x40</t>
  </si>
  <si>
    <t>=0.01*(x38*x10*x44+x11*x45*x15*(x12-x13)*(x10/(x10-x14)))</t>
  </si>
  <si>
    <t>=x11*x46*(x47+x48)</t>
  </si>
  <si>
    <t>=x11*MAX(x35,0-(x36+IF(x15=0,0,(1-x13/x12)*x10/(x10-x14)*IF(x11=0,1,x38/x11)*x37)))*x10*0.01*(1-(x43+x39)/x40)</t>
  </si>
  <si>
    <t>=x25-x49-x50-x51-x52-x53-x54-x55-x56</t>
  </si>
  <si>
    <t>Capacity charge for demand (£/year)</t>
  </si>
  <si>
    <t>Super red charge for demand (£/year)</t>
  </si>
  <si>
    <t>Fixed charge for demand (£/year)</t>
  </si>
  <si>
    <t>Net capacity charge (or credit) for generation (£/year)</t>
  </si>
  <si>
    <t>Fixed charge for generation (£/year)</t>
  </si>
  <si>
    <t>Super red credit (£/year)</t>
  </si>
  <si>
    <t>Total for demand (£/year)</t>
  </si>
  <si>
    <t>Change (demand) (£/year)</t>
  </si>
  <si>
    <t>Change (demand) (%)</t>
  </si>
  <si>
    <t>Total for generation (£/year)</t>
  </si>
  <si>
    <t>Change (generation) (£/year)</t>
  </si>
  <si>
    <t>Change (generation) (%)</t>
  </si>
  <si>
    <t>Fixed charge for demand (unrounded) (£/year)</t>
  </si>
  <si>
    <t>Transmission exit charge (£/year)</t>
  </si>
  <si>
    <t>Direct cost allocation (£/year)</t>
  </si>
  <si>
    <t>Indirect cost allocation (£/year)</t>
  </si>
  <si>
    <t>Network rates allocation (£/year)</t>
  </si>
  <si>
    <t>FCP/LRIC charge (£/year)</t>
  </si>
  <si>
    <t>Demand scaling fixed adder (£/year)</t>
  </si>
  <si>
    <t>Demand scaling asset based (£/year)</t>
  </si>
  <si>
    <t>Check (£/year)</t>
  </si>
  <si>
    <t>4602. Total for all tariffs (£/year)</t>
  </si>
  <si>
    <t>x1 = 4601. Total for demand (£/year) (in Horizontal information)</t>
  </si>
  <si>
    <t>x2 = 4601. Total for generation (£/year) (in Horizontal information)</t>
  </si>
  <si>
    <t>x3 = Total for demand across all tariffs (£/year) (in Total for all tariffs (£/year))</t>
  </si>
  <si>
    <t>x4 = Total for generation across all tariffs (£/year) (in Total for all tariffs (£/year))</t>
  </si>
  <si>
    <t>Fixed data</t>
  </si>
  <si>
    <t>Cell summation</t>
  </si>
  <si>
    <t>=SUM(x1)</t>
  </si>
  <si>
    <t>=SUM(x2)</t>
  </si>
  <si>
    <t>=x3+x4</t>
  </si>
  <si>
    <t>This column is not used</t>
  </si>
  <si>
    <t>Total for demand across all tariffs (£/year)</t>
  </si>
  <si>
    <t>Total for generation across all tariffs (£/year)</t>
  </si>
  <si>
    <t>Total for all tariffs (£/year)</t>
  </si>
  <si>
    <t>4791. Summary aggregate data part 1</t>
  </si>
  <si>
    <t>x1 = 4040. Total EDCM peak time consumption (kW)</t>
  </si>
  <si>
    <t>x2 = 4042. Total marginal effect of indirect cost adder</t>
  </si>
  <si>
    <t>x3 = 4042. Total marginal revenue effect of demand adder</t>
  </si>
  <si>
    <t>x4 = 4042. Revenue from demand charge 1 (£/year)</t>
  </si>
  <si>
    <t>Summary aggregate data part 1</t>
  </si>
  <si>
    <t>4792. Summary aggregate data part 2</t>
  </si>
  <si>
    <t>x1 = 4042. Chargeable export capacity adjusted for part-year (kVA) (total)</t>
  </si>
  <si>
    <t>x2 = 4042. Non-exempt 2005-2010 export capacity (kVA) adjusted for part-year (total)</t>
  </si>
  <si>
    <t>x3 = 4042. Non-exempt post-2010 export capacity (kVA) adjusted for part-year (total)</t>
  </si>
  <si>
    <t>x4 = 4046. Net forecast EDCM generation revenue (£/year)</t>
  </si>
  <si>
    <t>Summary aggregate data part 2</t>
  </si>
  <si>
    <t>4793. Summary aggregate data part 3</t>
  </si>
  <si>
    <t>x1 = 4040. Total sole use assets for demand (£)</t>
  </si>
  <si>
    <t>x2 = 4040. Total sole use assets for generation (£)</t>
  </si>
  <si>
    <t>x3 = 4040. Capacity assets (£)</t>
  </si>
  <si>
    <t>x4 = 4040. Consumption assets (£)</t>
  </si>
  <si>
    <t>x5 = 4042. Total non sole use notional assets subject to matching (£)</t>
  </si>
  <si>
    <t>Summary aggregate data part 3</t>
  </si>
  <si>
    <t>4801. Copy of 4046. Demand revenue target pot (£/year)</t>
  </si>
  <si>
    <t>x1 = 4046. Demand revenue target pot (£/year)</t>
  </si>
  <si>
    <t>Copy cells = x1</t>
  </si>
  <si>
    <t>Copy of 4046. Demand revenue target pot (£/year)</t>
  </si>
  <si>
    <t>4829. Copy of 4040. All notional assets in EDCM (£)</t>
  </si>
  <si>
    <t>x1 = 4040. All notional assets in EDCM (£)</t>
  </si>
  <si>
    <t>Copy of 4040. All notional assets in EDCM (£)</t>
  </si>
  <si>
    <t>4831. Copy of 4008. HV and LV service assets in CDCM model (£)</t>
  </si>
  <si>
    <t>x1 = 4008. HV and LV service assets in CDCM model (£)</t>
  </si>
  <si>
    <t>Copy of 4008. HV and LV service assets in CDCM model (£)</t>
  </si>
  <si>
    <t>4833. Copy of 4008. EHV assets in CDCM model (£)</t>
  </si>
  <si>
    <t>x1 = 4008. EHV assets in CDCM model (£)</t>
  </si>
  <si>
    <t>Copy of 4008. EHV assets in CDCM model (£)</t>
  </si>
  <si>
    <t>4835. Copy of 4008. HV and LV network assets in CDCM model (£)</t>
  </si>
  <si>
    <t>x1 = 4008. HV and LV network assets in CDCM model (£)</t>
  </si>
  <si>
    <t>Copy of 4008. HV and LV network assets in CDCM model (£)</t>
  </si>
  <si>
    <t>4837. Copy of 4008. Total CDCM peak time consumption (kW)</t>
  </si>
  <si>
    <t>x1 = 4008. Total CDCM peak time consumption (kW)</t>
  </si>
  <si>
    <t>Copy of 4008. Total CDCM peak time consumption (kW)</t>
  </si>
  <si>
    <t>4838. Copy of 4040. Estimated total peak-time consumption (kW)</t>
  </si>
  <si>
    <t>x1 = 4040. Estimated total peak-time consumption (kW)</t>
  </si>
  <si>
    <t>Copy of 4040. Estimated total peak-time consumption (kW)</t>
  </si>
  <si>
    <t>4839. Copy of 4040. Transmission exit charging rate (£/kW/year)</t>
  </si>
  <si>
    <t>x1 = 4040. Transmission exit charging rate (£/kW/year)</t>
  </si>
  <si>
    <t>Copy of 4040. Transmission exit charging rate (£/kW/year)</t>
  </si>
  <si>
    <t>4843. Copy of 4042. Export capacity charge p/kVA/day</t>
  </si>
  <si>
    <t>x1 = 4042. Export capacity charge p/kVA/day</t>
  </si>
  <si>
    <t>Copy of 4042. Export capacity charge p/kVA/day</t>
  </si>
  <si>
    <t>4845. Copy of 4040. Direct cost charging rate</t>
  </si>
  <si>
    <t>Copy of 4040. Direct cost charging rate</t>
  </si>
  <si>
    <t>4846. Copy of 4040. Network rates charging rate</t>
  </si>
  <si>
    <t>x1 = 4040. Network rates charging rate</t>
  </si>
  <si>
    <t>Copy of 4040. Network rates charging rate</t>
  </si>
  <si>
    <t>4850. Copy of 4040. Indirect cost charging rate</t>
  </si>
  <si>
    <t>x1 = 4040. Indirect cost charging rate</t>
  </si>
  <si>
    <t>Copy of 4040. Indirect cost charging rate</t>
  </si>
  <si>
    <t>4852. Copy of 4042. Direct costs on EDCM demand except through sole use asset charges (£/year)</t>
  </si>
  <si>
    <t>x1 = 4042. Direct costs on EDCM demand except through sole use asset charges (£/year)</t>
  </si>
  <si>
    <t>Copy of 4042. Direct costs on EDCM demand except through sole use asset charges (£/year)</t>
  </si>
  <si>
    <t>4853. Copy of 4040. Indirect costs on EDCM demand (£/year)</t>
  </si>
  <si>
    <t>x1 = 4040. Indirect costs on EDCM demand (£/year)</t>
  </si>
  <si>
    <t>Copy of 4040. Indirect costs on EDCM demand (£/year)</t>
  </si>
  <si>
    <t>4854. Copy of 4046. Additional amount to be recovered (£/year)</t>
  </si>
  <si>
    <t>x1 = 4046. Additional amount to be recovered (£/year)</t>
  </si>
  <si>
    <t>Copy of 4046. Additional amount to be recovered (£/year)</t>
  </si>
  <si>
    <t>4855. Copy of 4042. Network rates on EDCM demand except through sole use asset charges (£/year)</t>
  </si>
  <si>
    <t>x1 = 4042. Network rates on EDCM demand except through sole use asset charges (£/year)</t>
  </si>
  <si>
    <t>Copy of 4042. Network rates on EDCM demand except through sole use asset charges (£/year)</t>
  </si>
  <si>
    <t>4857. Copy of 4046. Residual residual (£/year)</t>
  </si>
  <si>
    <t>x1 = 4046. Residual residual (£/year)</t>
  </si>
  <si>
    <t>Copy of 4046. Residual residual (£/year)</t>
  </si>
  <si>
    <t>4858. Copy of 4046. Annual charge on assets</t>
  </si>
  <si>
    <t>x1 = 4046. Annual charge on assets</t>
  </si>
  <si>
    <t>Copy of 4046. Annual charge on assets</t>
  </si>
  <si>
    <t>4859. Copy of 4046. Amount to be recovered from adders ex costs (£/year)</t>
  </si>
  <si>
    <t>x1 = 4046. Amount to be recovered from adders ex costs (£/year)</t>
  </si>
  <si>
    <t>Copy of 4046. Amount to be recovered from adders ex costs (£/year)</t>
  </si>
  <si>
    <t>4861. Copy of 4046. Fixed adder ex indirects application rate</t>
  </si>
  <si>
    <t>x1 = 4046. Fixed adder ex indirects application rate</t>
  </si>
  <si>
    <t>Copy of 4046. Fixed adder ex indirects application rate</t>
  </si>
  <si>
    <t>4862. Copy of 4042. Indirect costs application rate</t>
  </si>
  <si>
    <t>x1 = 4042. Indirect costs application rate</t>
  </si>
  <si>
    <t>Copy of 4042. Indirect costs application rate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</si>
  <si>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</si>
  <si>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</si>
  <si>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</si>
  <si>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</si>
  <si>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</si>
  <si>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</si>
  <si>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Energy Networks Association Limited and others.  Copyright 2013-2014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</si>
  <si>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</si>
  <si>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</si>
  <si>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</si>
  <si>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</si>
  <si>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</si>
  <si>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</si>
  <si>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</si>
  <si>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</si>
  <si>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</si>
  <si>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</si>
  <si>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</si>
  <si>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</si>
  <si>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</si>
  <si>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</si>
  <si>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</si>
  <si>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</si>
  <si>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</si>
  <si>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List of data tables</t>
  </si>
  <si>
    <t>Worksheet</t>
  </si>
  <si>
    <t>Data table</t>
  </si>
  <si>
    <t>Type of table</t>
  </si>
  <si>
    <t>913. Location name/ID (in LRIC power flow modelling data)</t>
  </si>
  <si>
    <t>913</t>
  </si>
  <si>
    <t>913. Demand or Generation (in LRIC power flow modelling data)</t>
  </si>
  <si>
    <t>913. Linked location (if any) (in LRIC power flow modelling data)</t>
  </si>
  <si>
    <t>913. Local charge 1 £/kVA/year (in LRIC power flow modelling data)</t>
  </si>
  <si>
    <t>913. Remote charge 1 £/kVA/year (in LRIC power flow modelling data)</t>
  </si>
  <si>
    <t>913. Not used (in LRIC power flow modelling data)</t>
  </si>
  <si>
    <t>913. Maximum demand run: kW (in LRIC power flow modelling data)</t>
  </si>
  <si>
    <t>913. Maximum demand run: kVAr (in LRIC power flow modelling data)</t>
  </si>
  <si>
    <t>935. Name (in Tariff data)</t>
  </si>
  <si>
    <t>935</t>
  </si>
  <si>
    <t>935. Maximum import capacity (kVA) (in Tariff data)</t>
  </si>
  <si>
    <t>935. Exempt export capacity (kVA) (in Tariff data)</t>
  </si>
  <si>
    <t>935. Non-exempt pre-2005 export capacity (kVA) (in Tariff data)</t>
  </si>
  <si>
    <t>935. Non-exempt 2005-2010 export capacity (kVA) (in Tariff data)</t>
  </si>
  <si>
    <t>935. Non-exempt post-2010 export capacity (kVA) (in Tariff data)</t>
  </si>
  <si>
    <t>935. Sole use asset MEAV (£) (in Tariff data)</t>
  </si>
  <si>
    <t>935. LRIC location (in Tariff data)</t>
  </si>
  <si>
    <t>935. Customer category for demand scaling (in Tariff data)</t>
  </si>
  <si>
    <t>935. Network use factor (in Tariff data)</t>
  </si>
  <si>
    <t>935. Super red kW import divided by kVA capacity (in Tariff data)</t>
  </si>
  <si>
    <t>935. Super red kVAr import divided by kVA capacity (in Tariff data)</t>
  </si>
  <si>
    <t>935. Proportion exposed to indirect cost allocation (in Tariff data)</t>
  </si>
  <si>
    <t>935. Capacity subject to DSM (kVA) (in Tariff data)</t>
  </si>
  <si>
    <t>935. Super red units exported (kWh) (in Tariff data)</t>
  </si>
  <si>
    <t>935. Capacity eligible for GSP generation credits (kW) (in Tariff data)</t>
  </si>
  <si>
    <t>935. Proportion eligible for charge 1 credits (in Tariff data)</t>
  </si>
  <si>
    <t>935. Days for which not a customer (in Tariff data)</t>
  </si>
  <si>
    <t>935. Hours in super-red for which not a customer (in Tariff data)</t>
  </si>
  <si>
    <t>935. Import charge in previous charging year (£/year) (in Tariff data)</t>
  </si>
  <si>
    <t>935. Export charge in previous charging year (£/year) (in Tariff data)</t>
  </si>
  <si>
    <t>935. LLFC import (in Tariff data)</t>
  </si>
  <si>
    <t>935. LLFC export (in Tariff data)</t>
  </si>
  <si>
    <t>11</t>
  </si>
  <si>
    <t>1113. Days in year (in General inputs)</t>
  </si>
  <si>
    <t>1113. O&amp;M charging rate based on FBPQ data (£/kW/year) (in General inputs)</t>
  </si>
  <si>
    <t>1113. Annual hours in super red (in General inputs)</t>
  </si>
  <si>
    <t>1113. The amount of money that the DNO wants to raise from use of system charges, less transmission exit (£/year) (in General inputs)</t>
  </si>
  <si>
    <t>1113. Transmission exit charges (£/year) (in General inputs)</t>
  </si>
  <si>
    <t>1113. Direct cost (£/year) (in General inputs)</t>
  </si>
  <si>
    <t>1113. Indirect cost (£/year) (in General inputs)</t>
  </si>
  <si>
    <t>1113. Network rates (£/year) (in General inputs)</t>
  </si>
  <si>
    <t>1113. Average adjusted GP (£/year) (in General inputs)</t>
  </si>
  <si>
    <t>1113. GL term from the DG incentive revenue calculation (£/year) (in General inputs)</t>
  </si>
  <si>
    <t>1113. Total CDCM generation capacity 2005-2010 (kVA) (in General inputs)</t>
  </si>
  <si>
    <t>1113. Total CDCM generation capacity post-2010 (kVA) (in General inputs)</t>
  </si>
  <si>
    <t>1191. Baseline total EDCM peak time consumption (kW) (in Baseline EDCM demand aggregates)</t>
  </si>
  <si>
    <t>1191. Baseline total marginal effect of indirect cost adder (kVA) (in Baseline EDCM demand aggregates)</t>
  </si>
  <si>
    <t>1191. Baseline total marginal effect of demand adder (kVA) (in Baseline EDCM demand aggregates)</t>
  </si>
  <si>
    <t>1191. Baseline revenue from demand charge 1 (£/year) (in Baseline EDCM demand aggregates)</t>
  </si>
  <si>
    <t>1192. Baseline total chargeable export capacity (kVA) (in Baseline EDCM generation aggregates)</t>
  </si>
  <si>
    <t>1192. Baseline total non-exempt 2005-2010 export capacity (kVA) (in Baseline EDCM generation aggregates)</t>
  </si>
  <si>
    <t>1192. Baseline total non-exempt post-2010 export capacity (kVA) (in Baseline EDCM generation aggregates)</t>
  </si>
  <si>
    <t>1192. Baseline net forecast EDCM generation revenue (£/year) (in Baseline EDCM generation aggregates)</t>
  </si>
  <si>
    <t>1193. Baseline total sole use assets for demand (£) (in Baseline EDCM notional asset aggregates)</t>
  </si>
  <si>
    <t>1193. Baseline total sole use assets for generation (£) (in Baseline EDCM notional asset aggregates)</t>
  </si>
  <si>
    <t>1193. Baseline total notional capacity assets (£) (in Baseline EDCM notional asset aggregates)</t>
  </si>
  <si>
    <t>1193. Baseline total notional consumption assets (£) (in Baseline EDCM notional asset aggregates)</t>
  </si>
  <si>
    <t>1193. Baseline total non sole use notional assets subject to matching (£) (in Baseline EDCM notional asset aggregates)</t>
  </si>
  <si>
    <t>Calc</t>
  </si>
  <si>
    <t>4008. Is this the master model?</t>
  </si>
  <si>
    <t>4008. EHV assets in CDCM model (£)</t>
  </si>
  <si>
    <t>4008. HV and LV network assets in CDCM model (£)</t>
  </si>
  <si>
    <t>4008. HV and LV service assets in CDCM model (£)</t>
  </si>
  <si>
    <t>4008. Total CDCM peak time consumption (kW)</t>
  </si>
  <si>
    <t>4010. Notional asset rate (£/kW)</t>
  </si>
  <si>
    <t>4010. Notional asset rate for 132kV/HV (£/kW)</t>
  </si>
  <si>
    <t>4010. Notional asset rate adjusted (£/kW)</t>
  </si>
  <si>
    <t>4012. Weighting of each tariff for reconciliation of totals</t>
  </si>
  <si>
    <t>4012. Has import charges?</t>
  </si>
  <si>
    <t>4012. Maximum import capacity adjusted for part-year (kVA)</t>
  </si>
  <si>
    <t>4012. Non-DSM import capacity adjusted for part-year (kVA)</t>
  </si>
  <si>
    <t>4012. Has export charges?</t>
  </si>
  <si>
    <t>4012. Capacity eligible for GSP generation credits (kW) adjusted for part-year</t>
  </si>
  <si>
    <t>4012. Exempt export capacity (kVA) adjusted for part-year</t>
  </si>
  <si>
    <t>4012. Non-exempt pre-2005 export capacity (kVA) adjusted for part-year</t>
  </si>
  <si>
    <t>4012. Non-exempt 2005-2010 export capacity (kVA) adjusted for part-year</t>
  </si>
  <si>
    <t>4012. Non-exempt post-2010 export capacity (kVA) adjusted for part-year</t>
  </si>
  <si>
    <t>4012. Chargeable export capacity adjusted for part-year (kVA)</t>
  </si>
  <si>
    <t>4014. Mapping of customer category to loss factor (in Rules applicable to customer categories)</t>
  </si>
  <si>
    <t>4014. Treatment of network assets (1: capacity; 2+: consumption) (in Rules applicable to customer categories)</t>
  </si>
  <si>
    <t>4016. EHV operating expenditure intensity</t>
  </si>
  <si>
    <t>4016. Power factor in 500 MW model</t>
  </si>
  <si>
    <t>4016. Factor for the allocation of capacity scaling</t>
  </si>
  <si>
    <t>4016. Proportion of residual to go into fixed adder</t>
  </si>
  <si>
    <t>4018. Super red kW divided by kVA adjusted for part-year</t>
  </si>
  <si>
    <t>4018. Sole use asset MEAV for demand (£)</t>
  </si>
  <si>
    <t>4018. Sole use asset MEAV for non-exempt generation (£)</t>
  </si>
  <si>
    <t>4018. Demand sole use asset MEAV adjusted for part-year (£)</t>
  </si>
  <si>
    <t>4018. Generation sole use asset MEAV adjusted for part-year (£)</t>
  </si>
  <si>
    <t>4018. Index of customer category</t>
  </si>
  <si>
    <t>4018. Loss factor to transmission</t>
  </si>
  <si>
    <t>4018. Peak-time active power consumption adjusted to transmission (kW/kVA)</t>
  </si>
  <si>
    <t>4018. Active power equivalent of capacity adjusted to transmission (kW/kVA)</t>
  </si>
  <si>
    <t>4020. Adjusted network use by capacity</t>
  </si>
  <si>
    <t>4020. Capacity assets (£/kVA)</t>
  </si>
  <si>
    <t>4020. Adjusted network use by consumption</t>
  </si>
  <si>
    <t>4020. Consumption assets (£/kVA)</t>
  </si>
  <si>
    <t>4024. Second set of adjusted network use by capacity</t>
  </si>
  <si>
    <t>4024. Second set of capacity assets (£/kVA)</t>
  </si>
  <si>
    <t>4024. Second set of adjusted network use by consumption</t>
  </si>
  <si>
    <t>4024. Second set of consumption assets (£/kVA)</t>
  </si>
  <si>
    <t>4026. Location</t>
  </si>
  <si>
    <t>4026. Linked location 1</t>
  </si>
  <si>
    <t>4026. Linked location 2</t>
  </si>
  <si>
    <t>4026. Linked location 3</t>
  </si>
  <si>
    <t>4026. Linked location 4</t>
  </si>
  <si>
    <t>4026. Linked location 5</t>
  </si>
  <si>
    <t>4026. Linked location 6</t>
  </si>
  <si>
    <t>4026. Linked location 7</t>
  </si>
  <si>
    <t>4028. Local charge 1 £/kVA/year at Location</t>
  </si>
  <si>
    <t>4028. Local charge 1 £/kVA/year at Linked location 1</t>
  </si>
  <si>
    <t>4028. Local charge 1 £/kVA/year at Linked location 2</t>
  </si>
  <si>
    <t>4028. Local charge 1 £/kVA/year at Linked location 3</t>
  </si>
  <si>
    <t>4028. Local charge 1 £/kVA/year at Linked location 4</t>
  </si>
  <si>
    <t>4028. Local charge 1 £/kVA/year at Linked location 5</t>
  </si>
  <si>
    <t>4028. Local charge 1 £/kVA/year at Linked location 6</t>
  </si>
  <si>
    <t>4028. Local charge 1 £/kVA/year at Linked location 7</t>
  </si>
  <si>
    <t>4030. Network charge 1 £/kVA/year at Location</t>
  </si>
  <si>
    <t>4030. Network charge 1 £/kVA/year at Linked location 1</t>
  </si>
  <si>
    <t>4030. Network charge 1 £/kVA/year at Linked location 2</t>
  </si>
  <si>
    <t>4030. Network charge 1 £/kVA/year at Linked location 3</t>
  </si>
  <si>
    <t>4030. Network charge 1 £/kVA/year at Linked location 4</t>
  </si>
  <si>
    <t>4030. Network charge 1 £/kVA/year at Linked location 5</t>
  </si>
  <si>
    <t>4030. Network charge 1 £/kVA/year at Linked location 6</t>
  </si>
  <si>
    <t>4030. Network charge 1 £/kVA/year at Linked location 7</t>
  </si>
  <si>
    <t>4032. Maximum demand run kVA at Location</t>
  </si>
  <si>
    <t>4032. Maximum demand run kVA at Linked location 1</t>
  </si>
  <si>
    <t>4032. Maximum demand run kVA at Linked location 2</t>
  </si>
  <si>
    <t>4032. Maximum demand run kVA at Linked location 3</t>
  </si>
  <si>
    <t>4032. Maximum demand run kVA at Linked location 4</t>
  </si>
  <si>
    <t>4032. Maximum demand run kVA at Linked location 5</t>
  </si>
  <si>
    <t>4032. Maximum demand run kVA at Linked location 6</t>
  </si>
  <si>
    <t>4032. Maximum demand run kVA at Linked location 7</t>
  </si>
  <si>
    <t>4034. Average local charge 1 (£/kVA/year)</t>
  </si>
  <si>
    <t>4034. Average network charge 1 (£/kVA/year)</t>
  </si>
  <si>
    <t>4034. Total active power in maximum demand scenario (kW)</t>
  </si>
  <si>
    <t>4034. Inverse power factor, maximum demand (kVA/kW)</t>
  </si>
  <si>
    <t>4036. Import demand charge p/kVA/day</t>
  </si>
  <si>
    <t>4036. Import capacity charge p/kVA/day</t>
  </si>
  <si>
    <t>4036. Super red rate p/kWh</t>
  </si>
  <si>
    <t>4036. Generation credit (before exempt adjustment) p/kWh</t>
  </si>
  <si>
    <t>4036. Generation credit (unrounded) p/kWh</t>
  </si>
  <si>
    <t>4036. Export super-red unit rate (p/kWh)</t>
  </si>
  <si>
    <t>4038. Adjustment to exceeded import capacity charge for DSM (p/kVA/day)</t>
  </si>
  <si>
    <t>4038. Super red unit rate adjusted for DSM (p/kWh)</t>
  </si>
  <si>
    <t>4038. Import capacity charge from charge 1 (p/kVA/day)</t>
  </si>
  <si>
    <t>4038. Number of super-red hours connected in year</t>
  </si>
  <si>
    <t>4038. Marginal revenue effect of demand adder</t>
  </si>
  <si>
    <t>4038. Data for capacity-based allocation of indirect costs</t>
  </si>
  <si>
    <t>4038. Non sole use notional assets subject to matching (£)</t>
  </si>
  <si>
    <t>4040. Total sole use assets for demand (£)</t>
  </si>
  <si>
    <t>4040. Capacity assets (£)</t>
  </si>
  <si>
    <t>4040. Consumption assets (£)</t>
  </si>
  <si>
    <t>4040. Total sole use assets for generation (£)</t>
  </si>
  <si>
    <t>4040. All notional assets in EDCM (£)</t>
  </si>
  <si>
    <t>4040. Total EDCM peak time consumption (kW)</t>
  </si>
  <si>
    <t>4040. Estimated total peak-time consumption (kW)</t>
  </si>
  <si>
    <t>4040. Transmission exit charging rate (£/kW/year)</t>
  </si>
  <si>
    <t>4040. Direct cost charging rate</t>
  </si>
  <si>
    <t>4040. Network rates charging rate</t>
  </si>
  <si>
    <t>4040. Indirect cost charging rate</t>
  </si>
  <si>
    <t>4040. Indirect costs on EDCM demand (£/year)</t>
  </si>
  <si>
    <t>4042. Direct costs on EDCM demand except through sole use asset charges (£/year)</t>
  </si>
  <si>
    <t>4042. Network rates on EDCM demand except through sole use asset charges (£/year)</t>
  </si>
  <si>
    <t>4042. Chargeable export capacity adjusted for part-year (kVA) (total)</t>
  </si>
  <si>
    <t>4042. Non-exempt 2005-2010 export capacity (kVA) adjusted for part-year (total)</t>
  </si>
  <si>
    <t>4042. Non-exempt post-2010 export capacity (kVA) adjusted for part-year (total)</t>
  </si>
  <si>
    <t>4042. Export capacity charge p/kVA/day</t>
  </si>
  <si>
    <t>4042. Revenue from demand charge 1 (£/year)</t>
  </si>
  <si>
    <t>4042. Total marginal effect of indirect cost adder</t>
  </si>
  <si>
    <t>4042. Indirect costs application rate</t>
  </si>
  <si>
    <t>4042. Total marginal revenue effect of demand adder</t>
  </si>
  <si>
    <t>4042. Total non sole use notional assets subject to matching (£)</t>
  </si>
  <si>
    <t>4044. Demand fixed charge p/day</t>
  </si>
  <si>
    <t>4044. Generation fixed charge p/day (scaled for part year)</t>
  </si>
  <si>
    <t>4044. Export fixed charge (unrounded) p/day</t>
  </si>
  <si>
    <t>4044. Export fixed charge p/day</t>
  </si>
  <si>
    <t>4044. Generation credit (unrounded) p/kVA/day</t>
  </si>
  <si>
    <t>4044. Export capacity charge (unrounded) p/kVA/day</t>
  </si>
  <si>
    <t>4044. Export capacity charge (p/kVA/day)</t>
  </si>
  <si>
    <t>4044. Net export capacity charge (or credit) (unrounded) (p/kVA/day)</t>
  </si>
  <si>
    <t>4044. Export capacity rate (p/kVA/day)</t>
  </si>
  <si>
    <t>4044. Capacity charge p/kVA/day (exit only)</t>
  </si>
  <si>
    <t>4044. Import capacity charge before scaling (p/kVA/day)</t>
  </si>
  <si>
    <t>4044. Capacity charge after applying indirect cost charge p/kVA/day</t>
  </si>
  <si>
    <t>4046. Net forecast EDCM generation revenue (£/year)</t>
  </si>
  <si>
    <t>4046. Demand revenue target pot (£/year)</t>
  </si>
  <si>
    <t>4046. Additional amount to be recovered (£/year)</t>
  </si>
  <si>
    <t>4046. Amount to be recovered from adders ex costs (£/year)</t>
  </si>
  <si>
    <t>4046. Fixed adder ex indirects application rate</t>
  </si>
  <si>
    <t>4046. Residual residual (£/year)</t>
  </si>
  <si>
    <t>4046. Annual charge on assets</t>
  </si>
  <si>
    <t>4048. Capacity charge after applying fixed adder ex indirects p/kVA/day</t>
  </si>
  <si>
    <t>4048. Demand scaling p/kVA/day</t>
  </si>
  <si>
    <t>4048. Total import capacity charge p/kVA/day</t>
  </si>
  <si>
    <t>4048. Super red rate p/kWh</t>
  </si>
  <si>
    <t>4048. Import capacity charge p/kVA/day</t>
  </si>
  <si>
    <t>4048. Exceeded import capacity charge (p/kVA/day)</t>
  </si>
  <si>
    <t>4501. Name (in Tariff data) (copy) (in EDCM charge)</t>
  </si>
  <si>
    <t>Results</t>
  </si>
  <si>
    <t>4501. Import super-red unit rate (p/kWh) (in EDCM charge)</t>
  </si>
  <si>
    <t>4501. Import fixed charge (p/day) (in EDCM charge)</t>
  </si>
  <si>
    <t>4501. Import capacity rate (p/kVA/day) (in EDCM charge)</t>
  </si>
  <si>
    <t>4501. Import exceeded capacity rate (p/kVA/day) (in EDCM charge)</t>
  </si>
  <si>
    <t>4501. Export super-red unit rate (p/kWh) (copy) (in EDCM charge)</t>
  </si>
  <si>
    <t>4501. Export fixed charge p/day (copy) (in EDCM charge)</t>
  </si>
  <si>
    <t>4501. Export capacity rate (p/kVA/day) (copy) (in EDCM charge)</t>
  </si>
  <si>
    <t>4501. Export exceeded capacity rate (p/kVA/day) (in EDCM charge)</t>
  </si>
  <si>
    <t>4501. Tariff checksum 5 (in EDCM charge)</t>
  </si>
  <si>
    <t>4501. Model checksum 7 (in EDCM charge)</t>
  </si>
  <si>
    <t>4601. Name (in Tariff data) (copy) (in EDCM charge) (copy) (in Horizontal information)</t>
  </si>
  <si>
    <t>HSummary</t>
  </si>
  <si>
    <t>4601. Import super-red unit rate (p/kWh) (in EDCM charge) (copy) (in Horizontal information)</t>
  </si>
  <si>
    <t>4601. Import fixed charge (p/day) (in EDCM charge) (copy) (in Horizontal information)</t>
  </si>
  <si>
    <t>4601. Import capacity rate (p/kVA/day) (in EDCM charge) (copy) (in Horizontal information)</t>
  </si>
  <si>
    <t>4601. Import exceeded capacity rate (p/kVA/day) (in EDCM charge) (copy) (in Horizontal information)</t>
  </si>
  <si>
    <t>4601. Export super-red unit rate (p/kWh) (copy) (in EDCM charge) (copy) (in Horizontal information)</t>
  </si>
  <si>
    <t>4601. Export fixed charge p/day (copy) (in EDCM charge) (copy) (in Horizontal information)</t>
  </si>
  <si>
    <t>4601. Export capacity rate (p/kVA/day) (copy) (in EDCM charge) (copy) (in Horizontal information)</t>
  </si>
  <si>
    <t>4601. Export exceeded capacity rate (p/kVA/day) (in EDCM charge) (copy) (in Horizontal information)</t>
  </si>
  <si>
    <t>4601. Capacity charge for demand (£/year) (in Horizontal information)</t>
  </si>
  <si>
    <t>4601. Super red charge for demand (£/year) (in Horizontal information)</t>
  </si>
  <si>
    <t>4601. Fixed charge for demand (£/year) (in Horizontal information)</t>
  </si>
  <si>
    <t>4601. Net capacity charge (or credit) for generation (£/year) (in Horizontal information)</t>
  </si>
  <si>
    <t>4601. Fixed charge for generation (£/year) (in Horizontal information)</t>
  </si>
  <si>
    <t>4601. Super red credit (£/year) (in Horizontal information)</t>
  </si>
  <si>
    <t>4601. Total for demand (£/year) (in Horizontal information)</t>
  </si>
  <si>
    <t>4601. Import charge in previous charging year (£/year) (in Tariff data) (copy) (in Horizontal information)</t>
  </si>
  <si>
    <t>4601. Change (demand) (£/year) (in Horizontal information)</t>
  </si>
  <si>
    <t>4601. Change (demand) (%) (in Horizontal information)</t>
  </si>
  <si>
    <t>4601. Total for generation (£/year) (in Horizontal information)</t>
  </si>
  <si>
    <t>4601. Export charge in previous charging year (£/year) (in Tariff data) (copy) (in Horizontal information)</t>
  </si>
  <si>
    <t>4601. Change (generation) (£/year) (in Horizontal information)</t>
  </si>
  <si>
    <t>4601. Change (generation) (%) (in Horizontal information)</t>
  </si>
  <si>
    <t>4601. Fixed charge for demand (unrounded) (£/year) (in Horizontal information)</t>
  </si>
  <si>
    <t>4601. Transmission exit charge (£/year) (in Horizontal information)</t>
  </si>
  <si>
    <t>4601. Direct cost allocation (£/year) (in Horizontal information)</t>
  </si>
  <si>
    <t>4601. Indirect cost allocation (£/year) (in Horizontal information)</t>
  </si>
  <si>
    <t>4601. Network rates allocation (£/year) (in Horizontal information)</t>
  </si>
  <si>
    <t>4601. FCP/LRIC charge (£/year) (in Horizontal information)</t>
  </si>
  <si>
    <t>4601. Demand scaling fixed adder (£/year) (in Horizontal information)</t>
  </si>
  <si>
    <t>4601. Demand scaling asset based (£/year) (in Horizontal information)</t>
  </si>
  <si>
    <t>4601. Check (£/year) (in Horizontal information)</t>
  </si>
  <si>
    <t>4602. This column is not used (in Total for all tariffs (£/year))</t>
  </si>
  <si>
    <t>4602. Total for demand across all tariffs (£/year) (in Total for all tariffs (£/year))</t>
  </si>
  <si>
    <t>4602. Total for generation across all tariffs (£/year) (in Total for all tariffs (£/year))</t>
  </si>
  <si>
    <t>4602. Total for all tariffs (£/year) (in Total for all tariffs (£/year))</t>
  </si>
  <si>
    <t>Aggregates</t>
  </si>
  <si>
    <t>Technical model rules and version control</t>
  </si>
  <si>
    <t>---</t>
  </si>
  <si>
    <t>PerlModule: EDCM2</t>
  </si>
  <si>
    <t>activeSheets: Results</t>
  </si>
  <si>
    <t>checksums: Tariff checksum 5; Model checksum 7</t>
  </si>
  <si>
    <t>dcp130: 1</t>
  </si>
  <si>
    <t>identification: DCP 183 worked example</t>
  </si>
  <si>
    <t>lowerIntermittentCredit: 1</t>
  </si>
  <si>
    <t>method: LRIC</t>
  </si>
  <si>
    <t>newOrder: 1</t>
  </si>
  <si>
    <t>noNegative: 1</t>
  </si>
  <si>
    <t>numLocationsDefault: 1200</t>
  </si>
  <si>
    <t>numTariffsDefault: 600</t>
  </si>
  <si>
    <t>protect: 1</t>
  </si>
  <si>
    <t>summaries: 1</t>
  </si>
  <si>
    <t>template: '%-beta-LRIC'</t>
  </si>
  <si>
    <t>transparency: 1</t>
  </si>
  <si>
    <t>validation: lenientnomsg</t>
  </si>
  <si>
    <t>version: ~</t>
  </si>
  <si>
    <t>voltageRulesTransparency: 1</t>
  </si>
  <si>
    <t>wantTables: 913</t>
  </si>
  <si>
    <t>'~codeValidation':</t>
  </si>
  <si>
    <t xml:space="preserve">  Ancillary/CommandLine.pm: 101e9c77e0951c46e30468d56729646d2086881f</t>
  </si>
  <si>
    <t xml:space="preserve">  Ancillary/ParallelRunning.pm: aedeab53d67db089a553e59c70883ec2120a0c28</t>
  </si>
  <si>
    <t xml:space="preserve">  Ancillary/Validation.pm: 96f25555ac9f150f8323e94672276d96629bbb9f</t>
  </si>
  <si>
    <t xml:space="preserve">  Compilation/ImportCalcSqlite.pm: a6be7a6e4477e814be4509bf80ecab883e6a9dda</t>
  </si>
  <si>
    <t xml:space="preserve">  Compilation/ImportDumpers.pm: 2fd82354cb7e5438f5f3691b7271f5c7ecffd8fa</t>
  </si>
  <si>
    <t xml:space="preserve">  EDCM2/Assets.pm: 16ee26bc57c450d2224649d37eace2f1bb495f96</t>
  </si>
  <si>
    <t xml:space="preserve">  EDCM2/Charges.pm: 1e993582ba3a2a453021c9b1b3589359e80392d6</t>
  </si>
  <si>
    <t xml:space="preserve">  EDCM2/DataPreprocess.pm: b7301640c7ee35c8a5fc20a69d892c41f74b0730</t>
  </si>
  <si>
    <t xml:space="preserve">  EDCM2/Generation.pm: 4efb1db9c61645a61dcb42126ec9045d8657e689</t>
  </si>
  <si>
    <t xml:space="preserve">  EDCM2/Inputs.pm: abb71b554579809a7d1bdbf558fb8e5ee4daa715</t>
  </si>
  <si>
    <t xml:space="preserve">  EDCM2/Ldno.pm: 6af479919d699a63e718576eb3fc090058d37b90</t>
  </si>
  <si>
    <t xml:space="preserve">  EDCM2/Locations.pm: 0b16da36eec428b645cc67d5eb8902b1aa6be8c3</t>
  </si>
  <si>
    <t xml:space="preserve">  EDCM2/Master.pm: b3ae12814be7e111668f6dd240a31a4cd47c4062</t>
  </si>
  <si>
    <t xml:space="preserve">  EDCM2/Scaling.pm: d0df774bda26d792bbf42375c1ccd4e47ab4a886</t>
  </si>
  <si>
    <t xml:space="preserve">  EDCM2/Sheets.pm: 44c2bddc6749306deefe2369a34ba23486bbf717</t>
  </si>
  <si>
    <t xml:space="preserve">  EDCM2/Summary.pm: 551e6b570f2047660c2a0979bfe6e9d86a2fa480</t>
  </si>
  <si>
    <t xml:space="preserve">  SpreadsheetModel/Arithmetic.pm: e34141df00a510cc045fd03f8b50a25d96fc67a6</t>
  </si>
  <si>
    <t xml:space="preserve">  SpreadsheetModel/Checksum.pm: febcc78ee6597f09ce6cb6992ec77c21ee3646ca</t>
  </si>
  <si>
    <t xml:space="preserve">  SpreadsheetModel/Columnset.pm: bf4ed530c6330286762a49a4bf7da17807ba19da</t>
  </si>
  <si>
    <t xml:space="preserve">  SpreadsheetModel/Custom.pm: 548afea635a70440da53ae0791d58058eb320f96</t>
  </si>
  <si>
    <t xml:space="preserve">  SpreadsheetModel/Dataset.pm: b8dfd43572706128f03c2e33c10d963541f09e75</t>
  </si>
  <si>
    <t xml:space="preserve">  SpreadsheetModel/GroupBy.pm: d69fd118ce022337f462866910bbe77c2da20909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</si>
  <si>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</si>
  <si>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</si>
  <si>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091dff39b710a2108ad6c15a22bed26e92f8294d</t>
  </si>
  <si>
    <t xml:space="preserve">  SpreadsheetModel/Notes.pm: 2a6746f93e5acd872d1f7ec2ed973f7993f0fa5b</t>
  </si>
  <si>
    <t xml:space="preserve">  SpreadsheetModel/Object.pm: f770dfabcdb9d789841f6687c247b4bfd9bf0c32</t>
  </si>
  <si>
    <t xml:space="preserve">  SpreadsheetModel/Reshape.pm: db327684ed6c50c3084959ea625b473eb287e3c8</t>
  </si>
  <si>
    <t xml:space="preserve">  SpreadsheetModel/Shortcuts.pm: 81b68efc70dd2263c3478f3ce3269cf6ebb3ee8b</t>
  </si>
  <si>
    <t xml:space="preserve">  SpreadsheetModel/Stack.pm: 8de817fe546517bdc84ebd9cd9ad3d7f9131038c</t>
  </si>
  <si>
    <t xml:space="preserve">  SpreadsheetModel/SumProduct.pm: 876e4b18ee3e43381390ea6a261ee17ac06fc171</t>
  </si>
  <si>
    <t xml:space="preserve">  SpreadsheetModel/WorkbookCreate.pm: 0f9b24b92b14417795dc6704ff1c048efc422047</t>
  </si>
  <si>
    <t>'~datasetName': DCP 183 worked example</t>
  </si>
  <si>
    <t>'~datasetSource':</t>
  </si>
  <si>
    <t xml:space="preserve">  file: DCP 183 worked example.yml</t>
  </si>
  <si>
    <t xml:space="preserve">  validation: e68b9cdc9c284f713fe46511f7255aa8a38c94a7</t>
  </si>
  <si>
    <t>Generated on Mon  6 Oct 2014 07:58:30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</si>
</sst>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\ _(???,???,??0.000_);[Red]\ \(???,???,??0.000\);;@"/>
    <numFmt numFmtId="165" formatCode="0.000;\-0.000;;@"/>
    <numFmt numFmtId="166" formatCode="\ _(??0.0%_);[Red]\ \(??0.0%\);;@"/>
    <numFmt numFmtId="167" formatCode="\ _(???,???,??0_);[Red]\ \(???,???,??0\);;@"/>
    <numFmt numFmtId="168" formatCode="\ _(???,???,??0.0_);[Red]\ \(???,???,??0.0\);;@"/>
    <numFmt numFmtId="169" formatCode="\L\o\c\a\t\i\o\n\ 0"/>
    <numFmt numFmtId="170" formatCode="\T\a\r\i\f\f\ 0"/>
    <numFmt numFmtId="171" formatCode="0000"/>
    <numFmt numFmtId="172" formatCode="\ _(???,???,??0.00_);[Red]\ \(???,???,??0.00\);;@"/>
    <numFmt numFmtId="173" formatCode="00000"/>
    <numFmt numFmtId="174" formatCode="000\ 0000"/>
    <numFmt numFmtId="175" formatCode="[Blue]_-\+???,???,??0;[Red]_+\-???,???,??0;[Green]\=;@"/>
    <numFmt numFmtId="176" formatCode="[Blue]_-\+????0.0%;[Red]_+\-????0.0%;[Green]\=;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  <fill>
      <patternFill patternType="solid">
        <fgColor rgb="FFFBF8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000000"/>
      </left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9" borderId="0" xfId="0" applyFont="1" applyFill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7" fontId="0" fillId="3" borderId="0" xfId="0" applyNumberFormat="1" applyFill="1" applyAlignment="1" applyProtection="1">
      <alignment horizontal="center"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169" fontId="2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170" fontId="2" fillId="2" borderId="0" xfId="0" applyNumberFormat="1" applyFont="1" applyFill="1" applyAlignment="1">
      <alignment horizontal="left" vertical="center"/>
    </xf>
    <xf numFmtId="171" fontId="0" fillId="3" borderId="0" xfId="0" applyNumberFormat="1" applyFill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Continuous" vertical="center" wrapText="1"/>
    </xf>
    <xf numFmtId="167" fontId="0" fillId="5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  <xf numFmtId="166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left" vertical="center" wrapText="1"/>
    </xf>
    <xf numFmtId="172" fontId="0" fillId="6" borderId="0" xfId="0" applyNumberFormat="1" applyFill="1" applyAlignment="1">
      <alignment horizontal="center" vertical="center"/>
    </xf>
    <xf numFmtId="173" fontId="0" fillId="5" borderId="0" xfId="0" applyNumberFormat="1" applyFill="1" applyAlignment="1">
      <alignment horizontal="center" vertical="center"/>
    </xf>
    <xf numFmtId="174" fontId="0" fillId="5" borderId="0" xfId="0" applyNumberFormat="1" applyFill="1" applyAlignment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175" fontId="0" fillId="5" borderId="0" xfId="0" applyNumberFormat="1" applyFill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</cellXfs>
  <cellStyles count="3"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345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 x14ac:dyDescent="0"/>
  <cols>
    <col min="1" max="1" width="30.6640625" customWidth="1"/>
    <col min="2" max="2" width="105.6640625" customWidth="1"/>
    <col min="3" max="251" width="30.6640625" customWidth="1"/>
  </cols>
  <sheetData>
    <row r="1" spans="1:3" ht="21" customHeight="1">
      <c r="A1" s="1" t="str">
        <f>"Index"&amp;" for "&amp;'11'!B7&amp;" in "&amp;'11'!C7&amp;" ("&amp;'11'!D7&amp;")"</f>
        <v>Index for Illustrative DNO in 2013/2014 (DCP 183 worked example)</v>
      </c>
    </row>
    <row r="2" spans="1:3">
      <c r="A2" s="2"/>
    </row>
    <row r="3" spans="1:3">
      <c r="A3" s="2" t="s">
        <v>936</v>
      </c>
    </row>
    <row r="4" spans="1:3">
      <c r="A4" s="2"/>
    </row>
    <row r="5" spans="1:3">
      <c r="A5" s="2" t="s">
        <v>937</v>
      </c>
    </row>
    <row r="6" spans="1:3">
      <c r="A6" s="2" t="s">
        <v>938</v>
      </c>
    </row>
    <row r="7" spans="1:3">
      <c r="A7" s="2" t="s">
        <v>939</v>
      </c>
    </row>
    <row r="8" spans="1:3">
      <c r="A8" s="2" t="s">
        <v>940</v>
      </c>
    </row>
    <row r="9" spans="1:3">
      <c r="A9" s="2" t="s">
        <v>941</v>
      </c>
    </row>
    <row r="11" spans="1:3">
      <c r="A11" s="2" t="s">
        <v>942</v>
      </c>
    </row>
    <row r="12" spans="1:3">
      <c r="A12" s="2" t="s">
        <v>943</v>
      </c>
    </row>
    <row r="13" spans="1:3">
      <c r="A13" s="2" t="s">
        <v>944</v>
      </c>
    </row>
    <row r="14" spans="1:3">
      <c r="A14" s="2" t="s">
        <v>945</v>
      </c>
      <c r="C14" s="3" t="s">
        <v>952</v>
      </c>
    </row>
    <row r="15" spans="1:3">
      <c r="A15" s="2" t="s">
        <v>946</v>
      </c>
      <c r="C15" s="4" t="s">
        <v>953</v>
      </c>
    </row>
    <row r="16" spans="1:3">
      <c r="A16" s="2" t="s">
        <v>947</v>
      </c>
      <c r="C16" s="5" t="s">
        <v>954</v>
      </c>
    </row>
    <row r="17" spans="1:3">
      <c r="A17" s="2" t="s">
        <v>948</v>
      </c>
      <c r="C17" s="6" t="s">
        <v>955</v>
      </c>
    </row>
    <row r="18" spans="1:3">
      <c r="A18" s="2" t="s">
        <v>949</v>
      </c>
      <c r="C18" s="7" t="s">
        <v>956</v>
      </c>
    </row>
    <row r="19" spans="1:3">
      <c r="A19" s="2" t="s">
        <v>950</v>
      </c>
      <c r="C19" s="8" t="s">
        <v>957</v>
      </c>
    </row>
    <row r="20" spans="1:3">
      <c r="A20" s="2" t="s">
        <v>951</v>
      </c>
      <c r="C20" s="9" t="s">
        <v>958</v>
      </c>
    </row>
    <row r="21" spans="1:3">
      <c r="C21" s="10" t="s">
        <v>959</v>
      </c>
    </row>
    <row r="22" spans="1:3" ht="21" customHeight="1">
      <c r="A22" s="1" t="s">
        <v>960</v>
      </c>
    </row>
    <row r="23" spans="1:3">
      <c r="A23" s="11" t="s">
        <v>961</v>
      </c>
      <c r="B23" s="11" t="s">
        <v>962</v>
      </c>
      <c r="C23" s="11" t="s">
        <v>963</v>
      </c>
    </row>
    <row r="24" spans="1:3">
      <c r="A24" s="2" t="s">
        <v>965</v>
      </c>
      <c r="B24" s="12" t="s">
        <v>964</v>
      </c>
      <c r="C24" s="2" t="s">
        <v>953</v>
      </c>
    </row>
    <row r="25" spans="1:3">
      <c r="A25" s="2" t="s">
        <v>965</v>
      </c>
      <c r="B25" s="12" t="s">
        <v>966</v>
      </c>
      <c r="C25" s="2" t="s">
        <v>953</v>
      </c>
    </row>
    <row r="26" spans="1:3">
      <c r="A26" s="2" t="s">
        <v>965</v>
      </c>
      <c r="B26" s="12" t="s">
        <v>967</v>
      </c>
      <c r="C26" s="2" t="s">
        <v>953</v>
      </c>
    </row>
    <row r="27" spans="1:3">
      <c r="A27" s="2" t="s">
        <v>965</v>
      </c>
      <c r="B27" s="12" t="s">
        <v>968</v>
      </c>
      <c r="C27" s="2" t="s">
        <v>953</v>
      </c>
    </row>
    <row r="28" spans="1:3">
      <c r="A28" s="2" t="s">
        <v>965</v>
      </c>
      <c r="B28" s="12" t="s">
        <v>969</v>
      </c>
      <c r="C28" s="2" t="s">
        <v>953</v>
      </c>
    </row>
    <row r="29" spans="1:3">
      <c r="A29" s="2" t="s">
        <v>965</v>
      </c>
      <c r="B29" s="12" t="s">
        <v>970</v>
      </c>
      <c r="C29" s="2" t="s">
        <v>845</v>
      </c>
    </row>
    <row r="30" spans="1:3">
      <c r="A30" s="2" t="s">
        <v>965</v>
      </c>
      <c r="B30" s="12" t="s">
        <v>970</v>
      </c>
      <c r="C30" s="2" t="s">
        <v>845</v>
      </c>
    </row>
    <row r="31" spans="1:3">
      <c r="A31" s="2" t="s">
        <v>965</v>
      </c>
      <c r="B31" s="12" t="s">
        <v>971</v>
      </c>
      <c r="C31" s="2" t="s">
        <v>953</v>
      </c>
    </row>
    <row r="32" spans="1:3">
      <c r="A32" s="2" t="s">
        <v>965</v>
      </c>
      <c r="B32" s="12" t="s">
        <v>972</v>
      </c>
      <c r="C32" s="2" t="s">
        <v>953</v>
      </c>
    </row>
    <row r="33" spans="1:3">
      <c r="A33" s="2" t="s">
        <v>965</v>
      </c>
      <c r="B33" s="12" t="s">
        <v>970</v>
      </c>
      <c r="C33" s="2" t="s">
        <v>845</v>
      </c>
    </row>
    <row r="34" spans="1:3">
      <c r="A34" s="2" t="s">
        <v>965</v>
      </c>
      <c r="B34" s="12" t="s">
        <v>970</v>
      </c>
      <c r="C34" s="2" t="s">
        <v>845</v>
      </c>
    </row>
    <row r="35" spans="1:3">
      <c r="A35" s="2" t="s">
        <v>974</v>
      </c>
      <c r="B35" s="12" t="s">
        <v>973</v>
      </c>
      <c r="C35" s="2" t="s">
        <v>953</v>
      </c>
    </row>
    <row r="36" spans="1:3">
      <c r="A36" s="2" t="s">
        <v>974</v>
      </c>
      <c r="B36" s="12" t="s">
        <v>975</v>
      </c>
      <c r="C36" s="2" t="s">
        <v>953</v>
      </c>
    </row>
    <row r="37" spans="1:3">
      <c r="A37" s="2" t="s">
        <v>974</v>
      </c>
      <c r="B37" s="12" t="s">
        <v>976</v>
      </c>
      <c r="C37" s="2" t="s">
        <v>953</v>
      </c>
    </row>
    <row r="38" spans="1:3">
      <c r="A38" s="2" t="s">
        <v>974</v>
      </c>
      <c r="B38" s="12" t="s">
        <v>977</v>
      </c>
      <c r="C38" s="2" t="s">
        <v>953</v>
      </c>
    </row>
    <row r="39" spans="1:3">
      <c r="A39" s="2" t="s">
        <v>974</v>
      </c>
      <c r="B39" s="12" t="s">
        <v>978</v>
      </c>
      <c r="C39" s="2" t="s">
        <v>953</v>
      </c>
    </row>
    <row r="40" spans="1:3">
      <c r="A40" s="2" t="s">
        <v>974</v>
      </c>
      <c r="B40" s="12" t="s">
        <v>979</v>
      </c>
      <c r="C40" s="2" t="s">
        <v>953</v>
      </c>
    </row>
    <row r="41" spans="1:3">
      <c r="A41" s="2" t="s">
        <v>974</v>
      </c>
      <c r="B41" s="12" t="s">
        <v>980</v>
      </c>
      <c r="C41" s="2" t="s">
        <v>953</v>
      </c>
    </row>
    <row r="42" spans="1:3">
      <c r="A42" s="2" t="s">
        <v>974</v>
      </c>
      <c r="B42" s="12" t="s">
        <v>981</v>
      </c>
      <c r="C42" s="2" t="s">
        <v>953</v>
      </c>
    </row>
    <row r="43" spans="1:3">
      <c r="A43" s="2" t="s">
        <v>974</v>
      </c>
      <c r="B43" s="12" t="s">
        <v>982</v>
      </c>
      <c r="C43" s="2" t="s">
        <v>953</v>
      </c>
    </row>
    <row r="44" spans="1:3">
      <c r="A44" s="2" t="s">
        <v>974</v>
      </c>
      <c r="B44" s="12" t="s">
        <v>983</v>
      </c>
      <c r="C44" s="2" t="s">
        <v>953</v>
      </c>
    </row>
    <row r="45" spans="1:3">
      <c r="A45" s="2" t="s">
        <v>974</v>
      </c>
      <c r="B45" s="12" t="s">
        <v>984</v>
      </c>
      <c r="C45" s="2" t="s">
        <v>953</v>
      </c>
    </row>
    <row r="46" spans="1:3">
      <c r="A46" s="2" t="s">
        <v>974</v>
      </c>
      <c r="B46" s="12" t="s">
        <v>985</v>
      </c>
      <c r="C46" s="2" t="s">
        <v>953</v>
      </c>
    </row>
    <row r="47" spans="1:3">
      <c r="A47" s="2" t="s">
        <v>974</v>
      </c>
      <c r="B47" s="12" t="s">
        <v>986</v>
      </c>
      <c r="C47" s="2" t="s">
        <v>953</v>
      </c>
    </row>
    <row r="48" spans="1:3">
      <c r="A48" s="2" t="s">
        <v>974</v>
      </c>
      <c r="B48" s="12" t="s">
        <v>987</v>
      </c>
      <c r="C48" s="2" t="s">
        <v>953</v>
      </c>
    </row>
    <row r="49" spans="1:3">
      <c r="A49" s="2" t="s">
        <v>974</v>
      </c>
      <c r="B49" s="12" t="s">
        <v>988</v>
      </c>
      <c r="C49" s="2" t="s">
        <v>953</v>
      </c>
    </row>
    <row r="50" spans="1:3">
      <c r="A50" s="2" t="s">
        <v>974</v>
      </c>
      <c r="B50" s="12" t="s">
        <v>989</v>
      </c>
      <c r="C50" s="2" t="s">
        <v>953</v>
      </c>
    </row>
    <row r="51" spans="1:3">
      <c r="A51" s="2" t="s">
        <v>974</v>
      </c>
      <c r="B51" s="12" t="s">
        <v>990</v>
      </c>
      <c r="C51" s="2" t="s">
        <v>953</v>
      </c>
    </row>
    <row r="52" spans="1:3">
      <c r="A52" s="2" t="s">
        <v>974</v>
      </c>
      <c r="B52" s="12" t="s">
        <v>991</v>
      </c>
      <c r="C52" s="2" t="s">
        <v>953</v>
      </c>
    </row>
    <row r="53" spans="1:3">
      <c r="A53" s="2" t="s">
        <v>974</v>
      </c>
      <c r="B53" s="12" t="s">
        <v>992</v>
      </c>
      <c r="C53" s="2" t="s">
        <v>953</v>
      </c>
    </row>
    <row r="54" spans="1:3">
      <c r="A54" s="2" t="s">
        <v>974</v>
      </c>
      <c r="B54" s="12" t="s">
        <v>993</v>
      </c>
      <c r="C54" s="2" t="s">
        <v>953</v>
      </c>
    </row>
    <row r="55" spans="1:3">
      <c r="A55" s="2" t="s">
        <v>974</v>
      </c>
      <c r="B55" s="12" t="s">
        <v>994</v>
      </c>
      <c r="C55" s="2" t="s">
        <v>953</v>
      </c>
    </row>
    <row r="56" spans="1:3">
      <c r="A56" s="2" t="s">
        <v>974</v>
      </c>
      <c r="B56" s="12" t="s">
        <v>995</v>
      </c>
      <c r="C56" s="2" t="s">
        <v>953</v>
      </c>
    </row>
    <row r="57" spans="1:3">
      <c r="A57" s="2" t="s">
        <v>974</v>
      </c>
      <c r="B57" s="12" t="s">
        <v>996</v>
      </c>
      <c r="C57" s="2" t="s">
        <v>953</v>
      </c>
    </row>
    <row r="58" spans="1:3">
      <c r="A58" s="2" t="s">
        <v>997</v>
      </c>
      <c r="B58" s="12" t="s">
        <v>0</v>
      </c>
      <c r="C58" s="2" t="s">
        <v>953</v>
      </c>
    </row>
    <row r="59" spans="1:3">
      <c r="A59" s="2" t="s">
        <v>997</v>
      </c>
      <c r="B59" s="12" t="s">
        <v>8</v>
      </c>
      <c r="C59" s="2" t="s">
        <v>953</v>
      </c>
    </row>
    <row r="60" spans="1:3">
      <c r="A60" s="2" t="s">
        <v>997</v>
      </c>
      <c r="B60" s="12" t="s">
        <v>998</v>
      </c>
      <c r="C60" s="2" t="s">
        <v>953</v>
      </c>
    </row>
    <row r="61" spans="1:3">
      <c r="A61" s="2" t="s">
        <v>997</v>
      </c>
      <c r="B61" s="12" t="s">
        <v>999</v>
      </c>
      <c r="C61" s="2" t="s">
        <v>953</v>
      </c>
    </row>
    <row r="62" spans="1:3">
      <c r="A62" s="2" t="s">
        <v>997</v>
      </c>
      <c r="B62" s="12" t="s">
        <v>1000</v>
      </c>
      <c r="C62" s="2" t="s">
        <v>953</v>
      </c>
    </row>
    <row r="63" spans="1:3">
      <c r="A63" s="2" t="s">
        <v>997</v>
      </c>
      <c r="B63" s="12" t="s">
        <v>1001</v>
      </c>
      <c r="C63" s="2" t="s">
        <v>953</v>
      </c>
    </row>
    <row r="64" spans="1:3">
      <c r="A64" s="2" t="s">
        <v>997</v>
      </c>
      <c r="B64" s="12" t="s">
        <v>1002</v>
      </c>
      <c r="C64" s="2" t="s">
        <v>953</v>
      </c>
    </row>
    <row r="65" spans="1:3">
      <c r="A65" s="2" t="s">
        <v>997</v>
      </c>
      <c r="B65" s="12" t="s">
        <v>1003</v>
      </c>
      <c r="C65" s="2" t="s">
        <v>953</v>
      </c>
    </row>
    <row r="66" spans="1:3">
      <c r="A66" s="2" t="s">
        <v>997</v>
      </c>
      <c r="B66" s="12" t="s">
        <v>1004</v>
      </c>
      <c r="C66" s="2" t="s">
        <v>953</v>
      </c>
    </row>
    <row r="67" spans="1:3">
      <c r="A67" s="2" t="s">
        <v>997</v>
      </c>
      <c r="B67" s="12" t="s">
        <v>1005</v>
      </c>
      <c r="C67" s="2" t="s">
        <v>953</v>
      </c>
    </row>
    <row r="68" spans="1:3">
      <c r="A68" s="2" t="s">
        <v>997</v>
      </c>
      <c r="B68" s="12" t="s">
        <v>1006</v>
      </c>
      <c r="C68" s="2" t="s">
        <v>953</v>
      </c>
    </row>
    <row r="69" spans="1:3">
      <c r="A69" s="2" t="s">
        <v>997</v>
      </c>
      <c r="B69" s="12" t="s">
        <v>1007</v>
      </c>
      <c r="C69" s="2" t="s">
        <v>953</v>
      </c>
    </row>
    <row r="70" spans="1:3">
      <c r="A70" s="2" t="s">
        <v>997</v>
      </c>
      <c r="B70" s="12" t="s">
        <v>1008</v>
      </c>
      <c r="C70" s="2" t="s">
        <v>953</v>
      </c>
    </row>
    <row r="71" spans="1:3">
      <c r="A71" s="2" t="s">
        <v>997</v>
      </c>
      <c r="B71" s="12" t="s">
        <v>1009</v>
      </c>
      <c r="C71" s="2" t="s">
        <v>953</v>
      </c>
    </row>
    <row r="72" spans="1:3">
      <c r="A72" s="2" t="s">
        <v>997</v>
      </c>
      <c r="B72" s="12" t="s">
        <v>30</v>
      </c>
      <c r="C72" s="2" t="s">
        <v>953</v>
      </c>
    </row>
    <row r="73" spans="1:3">
      <c r="A73" s="2" t="s">
        <v>997</v>
      </c>
      <c r="B73" s="12" t="s">
        <v>32</v>
      </c>
      <c r="C73" s="2" t="s">
        <v>953</v>
      </c>
    </row>
    <row r="74" spans="1:3">
      <c r="A74" s="2" t="s">
        <v>997</v>
      </c>
      <c r="B74" s="12" t="s">
        <v>39</v>
      </c>
      <c r="C74" s="2" t="s">
        <v>953</v>
      </c>
    </row>
    <row r="75" spans="1:3">
      <c r="A75" s="2" t="s">
        <v>997</v>
      </c>
      <c r="B75" s="12" t="s">
        <v>42</v>
      </c>
      <c r="C75" s="2" t="s">
        <v>953</v>
      </c>
    </row>
    <row r="76" spans="1:3">
      <c r="A76" s="2" t="s">
        <v>997</v>
      </c>
      <c r="B76" s="12" t="s">
        <v>45</v>
      </c>
      <c r="C76" s="2" t="s">
        <v>953</v>
      </c>
    </row>
    <row r="77" spans="1:3">
      <c r="A77" s="2" t="s">
        <v>997</v>
      </c>
      <c r="B77" s="12" t="s">
        <v>47</v>
      </c>
      <c r="C77" s="2" t="s">
        <v>953</v>
      </c>
    </row>
    <row r="78" spans="1:3">
      <c r="A78" s="2" t="s">
        <v>997</v>
      </c>
      <c r="B78" s="12" t="s">
        <v>49</v>
      </c>
      <c r="C78" s="2" t="s">
        <v>953</v>
      </c>
    </row>
    <row r="79" spans="1:3">
      <c r="A79" s="2" t="s">
        <v>997</v>
      </c>
      <c r="B79" s="12" t="s">
        <v>1010</v>
      </c>
      <c r="C79" s="2" t="s">
        <v>953</v>
      </c>
    </row>
    <row r="80" spans="1:3">
      <c r="A80" s="2" t="s">
        <v>997</v>
      </c>
      <c r="B80" s="12" t="s">
        <v>1011</v>
      </c>
      <c r="C80" s="2" t="s">
        <v>953</v>
      </c>
    </row>
    <row r="81" spans="1:3">
      <c r="A81" s="2" t="s">
        <v>997</v>
      </c>
      <c r="B81" s="12" t="s">
        <v>1012</v>
      </c>
      <c r="C81" s="2" t="s">
        <v>953</v>
      </c>
    </row>
    <row r="82" spans="1:3">
      <c r="A82" s="2" t="s">
        <v>997</v>
      </c>
      <c r="B82" s="12" t="s">
        <v>1013</v>
      </c>
      <c r="C82" s="2" t="s">
        <v>953</v>
      </c>
    </row>
    <row r="83" spans="1:3">
      <c r="A83" s="2" t="s">
        <v>997</v>
      </c>
      <c r="B83" s="12" t="s">
        <v>1014</v>
      </c>
      <c r="C83" s="2" t="s">
        <v>953</v>
      </c>
    </row>
    <row r="84" spans="1:3">
      <c r="A84" s="2" t="s">
        <v>997</v>
      </c>
      <c r="B84" s="12" t="s">
        <v>1015</v>
      </c>
      <c r="C84" s="2" t="s">
        <v>953</v>
      </c>
    </row>
    <row r="85" spans="1:3">
      <c r="A85" s="2" t="s">
        <v>997</v>
      </c>
      <c r="B85" s="12" t="s">
        <v>1016</v>
      </c>
      <c r="C85" s="2" t="s">
        <v>953</v>
      </c>
    </row>
    <row r="86" spans="1:3">
      <c r="A86" s="2" t="s">
        <v>997</v>
      </c>
      <c r="B86" s="12" t="s">
        <v>1017</v>
      </c>
      <c r="C86" s="2" t="s">
        <v>953</v>
      </c>
    </row>
    <row r="87" spans="1:3">
      <c r="A87" s="2" t="s">
        <v>997</v>
      </c>
      <c r="B87" s="12" t="s">
        <v>1018</v>
      </c>
      <c r="C87" s="2" t="s">
        <v>953</v>
      </c>
    </row>
    <row r="88" spans="1:3">
      <c r="A88" s="2" t="s">
        <v>997</v>
      </c>
      <c r="B88" s="12" t="s">
        <v>1019</v>
      </c>
      <c r="C88" s="2" t="s">
        <v>953</v>
      </c>
    </row>
    <row r="89" spans="1:3">
      <c r="A89" s="2" t="s">
        <v>997</v>
      </c>
      <c r="B89" s="12" t="s">
        <v>1020</v>
      </c>
      <c r="C89" s="2" t="s">
        <v>953</v>
      </c>
    </row>
    <row r="90" spans="1:3">
      <c r="A90" s="2" t="s">
        <v>997</v>
      </c>
      <c r="B90" s="12" t="s">
        <v>1021</v>
      </c>
      <c r="C90" s="2" t="s">
        <v>953</v>
      </c>
    </row>
    <row r="91" spans="1:3">
      <c r="A91" s="2" t="s">
        <v>997</v>
      </c>
      <c r="B91" s="12" t="s">
        <v>1022</v>
      </c>
      <c r="C91" s="2" t="s">
        <v>953</v>
      </c>
    </row>
    <row r="92" spans="1:3">
      <c r="A92" s="2" t="s">
        <v>1023</v>
      </c>
      <c r="B92" s="12" t="s">
        <v>111</v>
      </c>
      <c r="C92" s="2" t="s">
        <v>845</v>
      </c>
    </row>
    <row r="93" spans="1:3">
      <c r="A93" s="2" t="s">
        <v>1023</v>
      </c>
      <c r="B93" s="12" t="s">
        <v>114</v>
      </c>
      <c r="C93" s="2" t="s">
        <v>845</v>
      </c>
    </row>
    <row r="94" spans="1:3">
      <c r="A94" s="2" t="s">
        <v>1023</v>
      </c>
      <c r="B94" s="12" t="s">
        <v>116</v>
      </c>
      <c r="C94" s="2" t="s">
        <v>845</v>
      </c>
    </row>
    <row r="95" spans="1:3">
      <c r="A95" s="2" t="s">
        <v>1023</v>
      </c>
      <c r="B95" s="12" t="s">
        <v>1024</v>
      </c>
      <c r="C95" s="2" t="s">
        <v>126</v>
      </c>
    </row>
    <row r="96" spans="1:3">
      <c r="A96" s="2" t="s">
        <v>1023</v>
      </c>
      <c r="B96" s="12" t="s">
        <v>1025</v>
      </c>
      <c r="C96" s="2" t="s">
        <v>127</v>
      </c>
    </row>
    <row r="97" spans="1:3">
      <c r="A97" s="2" t="s">
        <v>1023</v>
      </c>
      <c r="B97" s="12" t="s">
        <v>1026</v>
      </c>
      <c r="C97" s="2" t="s">
        <v>127</v>
      </c>
    </row>
    <row r="98" spans="1:3">
      <c r="A98" s="2" t="s">
        <v>1023</v>
      </c>
      <c r="B98" s="12" t="s">
        <v>1027</v>
      </c>
      <c r="C98" s="2" t="s">
        <v>127</v>
      </c>
    </row>
    <row r="99" spans="1:3">
      <c r="A99" s="2" t="s">
        <v>1023</v>
      </c>
      <c r="B99" s="12" t="s">
        <v>1028</v>
      </c>
      <c r="C99" s="2" t="s">
        <v>128</v>
      </c>
    </row>
    <row r="100" spans="1:3">
      <c r="A100" s="2" t="s">
        <v>1023</v>
      </c>
      <c r="B100" s="12" t="s">
        <v>1029</v>
      </c>
      <c r="C100" s="2" t="s">
        <v>126</v>
      </c>
    </row>
    <row r="101" spans="1:3">
      <c r="A101" s="2" t="s">
        <v>1023</v>
      </c>
      <c r="B101" s="12" t="s">
        <v>1030</v>
      </c>
      <c r="C101" s="2" t="s">
        <v>126</v>
      </c>
    </row>
    <row r="102" spans="1:3">
      <c r="A102" s="2" t="s">
        <v>1023</v>
      </c>
      <c r="B102" s="12" t="s">
        <v>1031</v>
      </c>
      <c r="C102" s="2" t="s">
        <v>148</v>
      </c>
    </row>
    <row r="103" spans="1:3">
      <c r="A103" s="2" t="s">
        <v>1023</v>
      </c>
      <c r="B103" s="12" t="s">
        <v>1032</v>
      </c>
      <c r="C103" s="2" t="s">
        <v>126</v>
      </c>
    </row>
    <row r="104" spans="1:3">
      <c r="A104" s="2" t="s">
        <v>1023</v>
      </c>
      <c r="B104" s="12" t="s">
        <v>1033</v>
      </c>
      <c r="C104" s="2" t="s">
        <v>126</v>
      </c>
    </row>
    <row r="105" spans="1:3">
      <c r="A105" s="2" t="s">
        <v>1023</v>
      </c>
      <c r="B105" s="12" t="s">
        <v>1034</v>
      </c>
      <c r="C105" s="2" t="s">
        <v>126</v>
      </c>
    </row>
    <row r="106" spans="1:3">
      <c r="A106" s="2" t="s">
        <v>1023</v>
      </c>
      <c r="B106" s="12" t="s">
        <v>1035</v>
      </c>
      <c r="C106" s="2" t="s">
        <v>126</v>
      </c>
    </row>
    <row r="107" spans="1:3">
      <c r="A107" s="2" t="s">
        <v>1023</v>
      </c>
      <c r="B107" s="12" t="s">
        <v>1036</v>
      </c>
      <c r="C107" s="2" t="s">
        <v>126</v>
      </c>
    </row>
    <row r="108" spans="1:3">
      <c r="A108" s="2" t="s">
        <v>1023</v>
      </c>
      <c r="B108" s="12" t="s">
        <v>1037</v>
      </c>
      <c r="C108" s="2" t="s">
        <v>126</v>
      </c>
    </row>
    <row r="109" spans="1:3">
      <c r="A109" s="2" t="s">
        <v>1023</v>
      </c>
      <c r="B109" s="12" t="s">
        <v>1038</v>
      </c>
      <c r="C109" s="2" t="s">
        <v>126</v>
      </c>
    </row>
    <row r="110" spans="1:3">
      <c r="A110" s="2" t="s">
        <v>1023</v>
      </c>
      <c r="B110" s="12" t="s">
        <v>1039</v>
      </c>
      <c r="C110" s="2" t="s">
        <v>126</v>
      </c>
    </row>
    <row r="111" spans="1:3">
      <c r="A111" s="2" t="s">
        <v>1023</v>
      </c>
      <c r="B111" s="12" t="s">
        <v>1040</v>
      </c>
      <c r="C111" s="2" t="s">
        <v>126</v>
      </c>
    </row>
    <row r="112" spans="1:3">
      <c r="A112" s="2" t="s">
        <v>1023</v>
      </c>
      <c r="B112" s="12" t="s">
        <v>1041</v>
      </c>
      <c r="C112" s="2" t="s">
        <v>126</v>
      </c>
    </row>
    <row r="113" spans="1:3">
      <c r="A113" s="2" t="s">
        <v>1023</v>
      </c>
      <c r="B113" s="12" t="s">
        <v>1042</v>
      </c>
      <c r="C113" s="2" t="s">
        <v>126</v>
      </c>
    </row>
    <row r="114" spans="1:3">
      <c r="A114" s="2" t="s">
        <v>1023</v>
      </c>
      <c r="B114" s="12" t="s">
        <v>1043</v>
      </c>
      <c r="C114" s="2" t="s">
        <v>845</v>
      </c>
    </row>
    <row r="115" spans="1:3">
      <c r="A115" s="2" t="s">
        <v>1023</v>
      </c>
      <c r="B115" s="12" t="s">
        <v>1044</v>
      </c>
      <c r="C115" s="2" t="s">
        <v>845</v>
      </c>
    </row>
    <row r="116" spans="1:3">
      <c r="A116" s="2" t="s">
        <v>1023</v>
      </c>
      <c r="B116" s="12" t="s">
        <v>1045</v>
      </c>
      <c r="C116" s="2" t="s">
        <v>845</v>
      </c>
    </row>
    <row r="117" spans="1:3">
      <c r="A117" s="2" t="s">
        <v>1023</v>
      </c>
      <c r="B117" s="12" t="s">
        <v>1046</v>
      </c>
      <c r="C117" s="2" t="s">
        <v>845</v>
      </c>
    </row>
    <row r="118" spans="1:3">
      <c r="A118" s="2" t="s">
        <v>1023</v>
      </c>
      <c r="B118" s="12" t="s">
        <v>1047</v>
      </c>
      <c r="C118" s="2" t="s">
        <v>845</v>
      </c>
    </row>
    <row r="119" spans="1:3">
      <c r="A119" s="2" t="s">
        <v>1023</v>
      </c>
      <c r="B119" s="12" t="s">
        <v>1048</v>
      </c>
      <c r="C119" s="2" t="s">
        <v>845</v>
      </c>
    </row>
    <row r="120" spans="1:3">
      <c r="A120" s="2" t="s">
        <v>1023</v>
      </c>
      <c r="B120" s="12" t="s">
        <v>1049</v>
      </c>
      <c r="C120" s="2" t="s">
        <v>126</v>
      </c>
    </row>
    <row r="121" spans="1:3">
      <c r="A121" s="2" t="s">
        <v>1023</v>
      </c>
      <c r="B121" s="12" t="s">
        <v>1050</v>
      </c>
      <c r="C121" s="2" t="s">
        <v>126</v>
      </c>
    </row>
    <row r="122" spans="1:3">
      <c r="A122" s="2" t="s">
        <v>1023</v>
      </c>
      <c r="B122" s="12" t="s">
        <v>1051</v>
      </c>
      <c r="C122" s="2" t="s">
        <v>126</v>
      </c>
    </row>
    <row r="123" spans="1:3">
      <c r="A123" s="2" t="s">
        <v>1023</v>
      </c>
      <c r="B123" s="12" t="s">
        <v>1052</v>
      </c>
      <c r="C123" s="2" t="s">
        <v>126</v>
      </c>
    </row>
    <row r="124" spans="1:3">
      <c r="A124" s="2" t="s">
        <v>1023</v>
      </c>
      <c r="B124" s="12" t="s">
        <v>1053</v>
      </c>
      <c r="C124" s="2" t="s">
        <v>126</v>
      </c>
    </row>
    <row r="125" spans="1:3">
      <c r="A125" s="2" t="s">
        <v>1023</v>
      </c>
      <c r="B125" s="12" t="s">
        <v>1054</v>
      </c>
      <c r="C125" s="2" t="s">
        <v>126</v>
      </c>
    </row>
    <row r="126" spans="1:3">
      <c r="A126" s="2" t="s">
        <v>1023</v>
      </c>
      <c r="B126" s="12" t="s">
        <v>1055</v>
      </c>
      <c r="C126" s="2" t="s">
        <v>126</v>
      </c>
    </row>
    <row r="127" spans="1:3">
      <c r="A127" s="2" t="s">
        <v>1023</v>
      </c>
      <c r="B127" s="12" t="s">
        <v>1056</v>
      </c>
      <c r="C127" s="2" t="s">
        <v>126</v>
      </c>
    </row>
    <row r="128" spans="1:3">
      <c r="A128" s="2" t="s">
        <v>1023</v>
      </c>
      <c r="B128" s="12" t="s">
        <v>1057</v>
      </c>
      <c r="C128" s="2" t="s">
        <v>126</v>
      </c>
    </row>
    <row r="129" spans="1:3">
      <c r="A129" s="2" t="s">
        <v>1023</v>
      </c>
      <c r="B129" s="12" t="s">
        <v>1058</v>
      </c>
      <c r="C129" s="2" t="s">
        <v>263</v>
      </c>
    </row>
    <row r="130" spans="1:3">
      <c r="A130" s="2" t="s">
        <v>1023</v>
      </c>
      <c r="B130" s="12" t="s">
        <v>1059</v>
      </c>
      <c r="C130" s="2" t="s">
        <v>127</v>
      </c>
    </row>
    <row r="131" spans="1:3">
      <c r="A131" s="2" t="s">
        <v>1023</v>
      </c>
      <c r="B131" s="12" t="s">
        <v>1060</v>
      </c>
      <c r="C131" s="2" t="s">
        <v>263</v>
      </c>
    </row>
    <row r="132" spans="1:3">
      <c r="A132" s="2" t="s">
        <v>1023</v>
      </c>
      <c r="B132" s="12" t="s">
        <v>1061</v>
      </c>
      <c r="C132" s="2" t="s">
        <v>127</v>
      </c>
    </row>
    <row r="133" spans="1:3">
      <c r="A133" s="2" t="s">
        <v>1023</v>
      </c>
      <c r="B133" s="12" t="s">
        <v>272</v>
      </c>
      <c r="C133" s="2" t="s">
        <v>126</v>
      </c>
    </row>
    <row r="134" spans="1:3">
      <c r="A134" s="2" t="s">
        <v>1023</v>
      </c>
      <c r="B134" s="12" t="s">
        <v>1062</v>
      </c>
      <c r="C134" s="2" t="s">
        <v>263</v>
      </c>
    </row>
    <row r="135" spans="1:3">
      <c r="A135" s="2" t="s">
        <v>1023</v>
      </c>
      <c r="B135" s="12" t="s">
        <v>1063</v>
      </c>
      <c r="C135" s="2" t="s">
        <v>127</v>
      </c>
    </row>
    <row r="136" spans="1:3">
      <c r="A136" s="2" t="s">
        <v>1023</v>
      </c>
      <c r="B136" s="12" t="s">
        <v>1064</v>
      </c>
      <c r="C136" s="2" t="s">
        <v>263</v>
      </c>
    </row>
    <row r="137" spans="1:3">
      <c r="A137" s="2" t="s">
        <v>1023</v>
      </c>
      <c r="B137" s="12" t="s">
        <v>1065</v>
      </c>
      <c r="C137" s="2" t="s">
        <v>127</v>
      </c>
    </row>
    <row r="138" spans="1:3">
      <c r="A138" s="2" t="s">
        <v>1023</v>
      </c>
      <c r="B138" s="12" t="s">
        <v>1066</v>
      </c>
      <c r="C138" s="2" t="s">
        <v>126</v>
      </c>
    </row>
    <row r="139" spans="1:3">
      <c r="A139" s="2" t="s">
        <v>1023</v>
      </c>
      <c r="B139" s="12" t="s">
        <v>1067</v>
      </c>
      <c r="C139" s="2" t="s">
        <v>126</v>
      </c>
    </row>
    <row r="140" spans="1:3">
      <c r="A140" s="2" t="s">
        <v>1023</v>
      </c>
      <c r="B140" s="12" t="s">
        <v>1068</v>
      </c>
      <c r="C140" s="2" t="s">
        <v>126</v>
      </c>
    </row>
    <row r="141" spans="1:3">
      <c r="A141" s="2" t="s">
        <v>1023</v>
      </c>
      <c r="B141" s="12" t="s">
        <v>1069</v>
      </c>
      <c r="C141" s="2" t="s">
        <v>126</v>
      </c>
    </row>
    <row r="142" spans="1:3">
      <c r="A142" s="2" t="s">
        <v>1023</v>
      </c>
      <c r="B142" s="12" t="s">
        <v>1070</v>
      </c>
      <c r="C142" s="2" t="s">
        <v>126</v>
      </c>
    </row>
    <row r="143" spans="1:3">
      <c r="A143" s="2" t="s">
        <v>1023</v>
      </c>
      <c r="B143" s="12" t="s">
        <v>1071</v>
      </c>
      <c r="C143" s="2" t="s">
        <v>126</v>
      </c>
    </row>
    <row r="144" spans="1:3">
      <c r="A144" s="2" t="s">
        <v>1023</v>
      </c>
      <c r="B144" s="12" t="s">
        <v>1072</v>
      </c>
      <c r="C144" s="2" t="s">
        <v>126</v>
      </c>
    </row>
    <row r="145" spans="1:3">
      <c r="A145" s="2" t="s">
        <v>1023</v>
      </c>
      <c r="B145" s="12" t="s">
        <v>1073</v>
      </c>
      <c r="C145" s="2" t="s">
        <v>126</v>
      </c>
    </row>
    <row r="146" spans="1:3">
      <c r="A146" s="2" t="s">
        <v>1023</v>
      </c>
      <c r="B146" s="12" t="s">
        <v>1074</v>
      </c>
      <c r="C146" s="2" t="s">
        <v>126</v>
      </c>
    </row>
    <row r="147" spans="1:3">
      <c r="A147" s="2" t="s">
        <v>1023</v>
      </c>
      <c r="B147" s="12" t="s">
        <v>1075</v>
      </c>
      <c r="C147" s="2" t="s">
        <v>126</v>
      </c>
    </row>
    <row r="148" spans="1:3">
      <c r="A148" s="2" t="s">
        <v>1023</v>
      </c>
      <c r="B148" s="12" t="s">
        <v>1076</v>
      </c>
      <c r="C148" s="2" t="s">
        <v>126</v>
      </c>
    </row>
    <row r="149" spans="1:3">
      <c r="A149" s="2" t="s">
        <v>1023</v>
      </c>
      <c r="B149" s="12" t="s">
        <v>1077</v>
      </c>
      <c r="C149" s="2" t="s">
        <v>126</v>
      </c>
    </row>
    <row r="150" spans="1:3">
      <c r="A150" s="2" t="s">
        <v>1023</v>
      </c>
      <c r="B150" s="12" t="s">
        <v>1078</v>
      </c>
      <c r="C150" s="2" t="s">
        <v>126</v>
      </c>
    </row>
    <row r="151" spans="1:3">
      <c r="A151" s="2" t="s">
        <v>1023</v>
      </c>
      <c r="B151" s="12" t="s">
        <v>1079</v>
      </c>
      <c r="C151" s="2" t="s">
        <v>126</v>
      </c>
    </row>
    <row r="152" spans="1:3">
      <c r="A152" s="2" t="s">
        <v>1023</v>
      </c>
      <c r="B152" s="12" t="s">
        <v>1080</v>
      </c>
      <c r="C152" s="2" t="s">
        <v>126</v>
      </c>
    </row>
    <row r="153" spans="1:3">
      <c r="A153" s="2" t="s">
        <v>1023</v>
      </c>
      <c r="B153" s="12" t="s">
        <v>1081</v>
      </c>
      <c r="C153" s="2" t="s">
        <v>126</v>
      </c>
    </row>
    <row r="154" spans="1:3">
      <c r="A154" s="2" t="s">
        <v>1023</v>
      </c>
      <c r="B154" s="12" t="s">
        <v>1082</v>
      </c>
      <c r="C154" s="2" t="s">
        <v>126</v>
      </c>
    </row>
    <row r="155" spans="1:3">
      <c r="A155" s="2" t="s">
        <v>1023</v>
      </c>
      <c r="B155" s="12" t="s">
        <v>1083</v>
      </c>
      <c r="C155" s="2" t="s">
        <v>126</v>
      </c>
    </row>
    <row r="156" spans="1:3">
      <c r="A156" s="2" t="s">
        <v>1023</v>
      </c>
      <c r="B156" s="12" t="s">
        <v>1084</v>
      </c>
      <c r="C156" s="2" t="s">
        <v>126</v>
      </c>
    </row>
    <row r="157" spans="1:3">
      <c r="A157" s="2" t="s">
        <v>1023</v>
      </c>
      <c r="B157" s="12" t="s">
        <v>1085</v>
      </c>
      <c r="C157" s="2" t="s">
        <v>126</v>
      </c>
    </row>
    <row r="158" spans="1:3">
      <c r="A158" s="2" t="s">
        <v>1023</v>
      </c>
      <c r="B158" s="12" t="s">
        <v>1086</v>
      </c>
      <c r="C158" s="2" t="s">
        <v>126</v>
      </c>
    </row>
    <row r="159" spans="1:3">
      <c r="A159" s="2" t="s">
        <v>1023</v>
      </c>
      <c r="B159" s="12" t="s">
        <v>1087</v>
      </c>
      <c r="C159" s="2" t="s">
        <v>126</v>
      </c>
    </row>
    <row r="160" spans="1:3">
      <c r="A160" s="2" t="s">
        <v>1023</v>
      </c>
      <c r="B160" s="12" t="s">
        <v>1088</v>
      </c>
      <c r="C160" s="2" t="s">
        <v>126</v>
      </c>
    </row>
    <row r="161" spans="1:3">
      <c r="A161" s="2" t="s">
        <v>1023</v>
      </c>
      <c r="B161" s="12" t="s">
        <v>1089</v>
      </c>
      <c r="C161" s="2" t="s">
        <v>126</v>
      </c>
    </row>
    <row r="162" spans="1:3">
      <c r="A162" s="2" t="s">
        <v>1023</v>
      </c>
      <c r="B162" s="12" t="s">
        <v>1090</v>
      </c>
      <c r="C162" s="2" t="s">
        <v>126</v>
      </c>
    </row>
    <row r="163" spans="1:3">
      <c r="A163" s="2" t="s">
        <v>1023</v>
      </c>
      <c r="B163" s="12" t="s">
        <v>1091</v>
      </c>
      <c r="C163" s="2" t="s">
        <v>126</v>
      </c>
    </row>
    <row r="164" spans="1:3">
      <c r="A164" s="2" t="s">
        <v>1023</v>
      </c>
      <c r="B164" s="12" t="s">
        <v>1092</v>
      </c>
      <c r="C164" s="2" t="s">
        <v>126</v>
      </c>
    </row>
    <row r="165" spans="1:3">
      <c r="A165" s="2" t="s">
        <v>1023</v>
      </c>
      <c r="B165" s="12" t="s">
        <v>1093</v>
      </c>
      <c r="C165" s="2" t="s">
        <v>126</v>
      </c>
    </row>
    <row r="166" spans="1:3">
      <c r="A166" s="2" t="s">
        <v>1023</v>
      </c>
      <c r="B166" s="12" t="s">
        <v>1094</v>
      </c>
      <c r="C166" s="2" t="s">
        <v>126</v>
      </c>
    </row>
    <row r="167" spans="1:3">
      <c r="A167" s="2" t="s">
        <v>1023</v>
      </c>
      <c r="B167" s="12" t="s">
        <v>1095</v>
      </c>
      <c r="C167" s="2" t="s">
        <v>126</v>
      </c>
    </row>
    <row r="168" spans="1:3">
      <c r="A168" s="2" t="s">
        <v>1023</v>
      </c>
      <c r="B168" s="12" t="s">
        <v>1096</v>
      </c>
      <c r="C168" s="2" t="s">
        <v>126</v>
      </c>
    </row>
    <row r="169" spans="1:3">
      <c r="A169" s="2" t="s">
        <v>1023</v>
      </c>
      <c r="B169" s="12" t="s">
        <v>1097</v>
      </c>
      <c r="C169" s="2" t="s">
        <v>126</v>
      </c>
    </row>
    <row r="170" spans="1:3">
      <c r="A170" s="2" t="s">
        <v>1023</v>
      </c>
      <c r="B170" s="12" t="s">
        <v>1098</v>
      </c>
      <c r="C170" s="2" t="s">
        <v>126</v>
      </c>
    </row>
    <row r="171" spans="1:3">
      <c r="A171" s="2" t="s">
        <v>1023</v>
      </c>
      <c r="B171" s="12" t="s">
        <v>1099</v>
      </c>
      <c r="C171" s="2" t="s">
        <v>126</v>
      </c>
    </row>
    <row r="172" spans="1:3">
      <c r="A172" s="2" t="s">
        <v>1023</v>
      </c>
      <c r="B172" s="12" t="s">
        <v>1100</v>
      </c>
      <c r="C172" s="2" t="s">
        <v>126</v>
      </c>
    </row>
    <row r="173" spans="1:3">
      <c r="A173" s="2" t="s">
        <v>1023</v>
      </c>
      <c r="B173" s="12" t="s">
        <v>1101</v>
      </c>
      <c r="C173" s="2" t="s">
        <v>126</v>
      </c>
    </row>
    <row r="174" spans="1:3">
      <c r="A174" s="2" t="s">
        <v>1023</v>
      </c>
      <c r="B174" s="12" t="s">
        <v>1102</v>
      </c>
      <c r="C174" s="2" t="s">
        <v>126</v>
      </c>
    </row>
    <row r="175" spans="1:3">
      <c r="A175" s="2" t="s">
        <v>1023</v>
      </c>
      <c r="B175" s="12" t="s">
        <v>1103</v>
      </c>
      <c r="C175" s="2" t="s">
        <v>126</v>
      </c>
    </row>
    <row r="176" spans="1:3">
      <c r="A176" s="2" t="s">
        <v>1023</v>
      </c>
      <c r="B176" s="12" t="s">
        <v>1104</v>
      </c>
      <c r="C176" s="2" t="s">
        <v>126</v>
      </c>
    </row>
    <row r="177" spans="1:3">
      <c r="A177" s="2" t="s">
        <v>1023</v>
      </c>
      <c r="B177" s="12" t="s">
        <v>1105</v>
      </c>
      <c r="C177" s="2" t="s">
        <v>126</v>
      </c>
    </row>
    <row r="178" spans="1:3">
      <c r="A178" s="2" t="s">
        <v>1023</v>
      </c>
      <c r="B178" s="12" t="s">
        <v>1106</v>
      </c>
      <c r="C178" s="2" t="s">
        <v>126</v>
      </c>
    </row>
    <row r="179" spans="1:3">
      <c r="A179" s="2" t="s">
        <v>1023</v>
      </c>
      <c r="B179" s="12" t="s">
        <v>1107</v>
      </c>
      <c r="C179" s="2" t="s">
        <v>126</v>
      </c>
    </row>
    <row r="180" spans="1:3">
      <c r="A180" s="2" t="s">
        <v>1023</v>
      </c>
      <c r="B180" s="12" t="s">
        <v>1108</v>
      </c>
      <c r="C180" s="2" t="s">
        <v>126</v>
      </c>
    </row>
    <row r="181" spans="1:3">
      <c r="A181" s="2" t="s">
        <v>1023</v>
      </c>
      <c r="B181" s="12" t="s">
        <v>1109</v>
      </c>
      <c r="C181" s="2" t="s">
        <v>126</v>
      </c>
    </row>
    <row r="182" spans="1:3">
      <c r="A182" s="2" t="s">
        <v>1023</v>
      </c>
      <c r="B182" s="12" t="s">
        <v>1110</v>
      </c>
      <c r="C182" s="2" t="s">
        <v>126</v>
      </c>
    </row>
    <row r="183" spans="1:3">
      <c r="A183" s="2" t="s">
        <v>1023</v>
      </c>
      <c r="B183" s="12" t="s">
        <v>1111</v>
      </c>
      <c r="C183" s="2" t="s">
        <v>126</v>
      </c>
    </row>
    <row r="184" spans="1:3">
      <c r="A184" s="2" t="s">
        <v>1023</v>
      </c>
      <c r="B184" s="12" t="s">
        <v>1112</v>
      </c>
      <c r="C184" s="2" t="s">
        <v>126</v>
      </c>
    </row>
    <row r="185" spans="1:3">
      <c r="A185" s="2" t="s">
        <v>1023</v>
      </c>
      <c r="B185" s="12" t="s">
        <v>1113</v>
      </c>
      <c r="C185" s="2" t="s">
        <v>126</v>
      </c>
    </row>
    <row r="186" spans="1:3">
      <c r="A186" s="2" t="s">
        <v>1023</v>
      </c>
      <c r="B186" s="12" t="s">
        <v>1114</v>
      </c>
      <c r="C186" s="2" t="s">
        <v>126</v>
      </c>
    </row>
    <row r="187" spans="1:3">
      <c r="A187" s="2" t="s">
        <v>1023</v>
      </c>
      <c r="B187" s="12" t="s">
        <v>1115</v>
      </c>
      <c r="C187" s="2" t="s">
        <v>126</v>
      </c>
    </row>
    <row r="188" spans="1:3">
      <c r="A188" s="2" t="s">
        <v>1023</v>
      </c>
      <c r="B188" s="12" t="s">
        <v>1116</v>
      </c>
      <c r="C188" s="2" t="s">
        <v>126</v>
      </c>
    </row>
    <row r="189" spans="1:3">
      <c r="A189" s="2" t="s">
        <v>1023</v>
      </c>
      <c r="B189" s="12" t="s">
        <v>1117</v>
      </c>
      <c r="C189" s="2" t="s">
        <v>126</v>
      </c>
    </row>
    <row r="190" spans="1:3">
      <c r="A190" s="2" t="s">
        <v>1023</v>
      </c>
      <c r="B190" s="12" t="s">
        <v>1118</v>
      </c>
      <c r="C190" s="2" t="s">
        <v>126</v>
      </c>
    </row>
    <row r="191" spans="1:3">
      <c r="A191" s="2" t="s">
        <v>1023</v>
      </c>
      <c r="B191" s="12" t="s">
        <v>1119</v>
      </c>
      <c r="C191" s="2" t="s">
        <v>126</v>
      </c>
    </row>
    <row r="192" spans="1:3">
      <c r="A192" s="2" t="s">
        <v>1023</v>
      </c>
      <c r="B192" s="12" t="s">
        <v>1120</v>
      </c>
      <c r="C192" s="2" t="s">
        <v>126</v>
      </c>
    </row>
    <row r="193" spans="1:3">
      <c r="A193" s="2" t="s">
        <v>1023</v>
      </c>
      <c r="B193" s="12" t="s">
        <v>1121</v>
      </c>
      <c r="C193" s="2" t="s">
        <v>126</v>
      </c>
    </row>
    <row r="194" spans="1:3">
      <c r="A194" s="2" t="s">
        <v>1023</v>
      </c>
      <c r="B194" s="12" t="s">
        <v>1122</v>
      </c>
      <c r="C194" s="2" t="s">
        <v>126</v>
      </c>
    </row>
    <row r="195" spans="1:3">
      <c r="A195" s="2" t="s">
        <v>1023</v>
      </c>
      <c r="B195" s="12" t="s">
        <v>1123</v>
      </c>
      <c r="C195" s="2" t="s">
        <v>126</v>
      </c>
    </row>
    <row r="196" spans="1:3">
      <c r="A196" s="2" t="s">
        <v>1023</v>
      </c>
      <c r="B196" s="12" t="s">
        <v>1124</v>
      </c>
      <c r="C196" s="2" t="s">
        <v>126</v>
      </c>
    </row>
    <row r="197" spans="1:3">
      <c r="A197" s="2" t="s">
        <v>1023</v>
      </c>
      <c r="B197" s="12" t="s">
        <v>1125</v>
      </c>
      <c r="C197" s="2" t="s">
        <v>126</v>
      </c>
    </row>
    <row r="198" spans="1:3">
      <c r="A198" s="2" t="s">
        <v>1023</v>
      </c>
      <c r="B198" s="12" t="s">
        <v>1126</v>
      </c>
      <c r="C198" s="2" t="s">
        <v>126</v>
      </c>
    </row>
    <row r="199" spans="1:3">
      <c r="A199" s="2" t="s">
        <v>1023</v>
      </c>
      <c r="B199" s="12" t="s">
        <v>1127</v>
      </c>
      <c r="C199" s="2" t="s">
        <v>126</v>
      </c>
    </row>
    <row r="200" spans="1:3">
      <c r="A200" s="2" t="s">
        <v>1023</v>
      </c>
      <c r="B200" s="12" t="s">
        <v>1128</v>
      </c>
      <c r="C200" s="2" t="s">
        <v>126</v>
      </c>
    </row>
    <row r="201" spans="1:3">
      <c r="A201" s="2" t="s">
        <v>1023</v>
      </c>
      <c r="B201" s="12" t="s">
        <v>1129</v>
      </c>
      <c r="C201" s="2" t="s">
        <v>126</v>
      </c>
    </row>
    <row r="202" spans="1:3">
      <c r="A202" s="2" t="s">
        <v>1023</v>
      </c>
      <c r="B202" s="12" t="s">
        <v>1130</v>
      </c>
      <c r="C202" s="2" t="s">
        <v>126</v>
      </c>
    </row>
    <row r="203" spans="1:3">
      <c r="A203" s="2" t="s">
        <v>1023</v>
      </c>
      <c r="B203" s="12" t="s">
        <v>1131</v>
      </c>
      <c r="C203" s="2" t="s">
        <v>126</v>
      </c>
    </row>
    <row r="204" spans="1:3">
      <c r="A204" s="2" t="s">
        <v>1023</v>
      </c>
      <c r="B204" s="12" t="s">
        <v>1132</v>
      </c>
      <c r="C204" s="2" t="s">
        <v>126</v>
      </c>
    </row>
    <row r="205" spans="1:3">
      <c r="A205" s="2" t="s">
        <v>1023</v>
      </c>
      <c r="B205" s="12" t="s">
        <v>1133</v>
      </c>
      <c r="C205" s="2" t="s">
        <v>126</v>
      </c>
    </row>
    <row r="206" spans="1:3">
      <c r="A206" s="2" t="s">
        <v>1023</v>
      </c>
      <c r="B206" s="12" t="s">
        <v>1134</v>
      </c>
      <c r="C206" s="2" t="s">
        <v>126</v>
      </c>
    </row>
    <row r="207" spans="1:3">
      <c r="A207" s="2" t="s">
        <v>1023</v>
      </c>
      <c r="B207" s="12" t="s">
        <v>1135</v>
      </c>
      <c r="C207" s="2" t="s">
        <v>126</v>
      </c>
    </row>
    <row r="208" spans="1:3">
      <c r="A208" s="2" t="s">
        <v>1023</v>
      </c>
      <c r="B208" s="12" t="s">
        <v>1136</v>
      </c>
      <c r="C208" s="2" t="s">
        <v>126</v>
      </c>
    </row>
    <row r="209" spans="1:3">
      <c r="A209" s="2" t="s">
        <v>1023</v>
      </c>
      <c r="B209" s="12" t="s">
        <v>1137</v>
      </c>
      <c r="C209" s="2" t="s">
        <v>126</v>
      </c>
    </row>
    <row r="210" spans="1:3">
      <c r="A210" s="2" t="s">
        <v>1023</v>
      </c>
      <c r="B210" s="12" t="s">
        <v>1138</v>
      </c>
      <c r="C210" s="2" t="s">
        <v>126</v>
      </c>
    </row>
    <row r="211" spans="1:3">
      <c r="A211" s="2" t="s">
        <v>1023</v>
      </c>
      <c r="B211" s="12" t="s">
        <v>1139</v>
      </c>
      <c r="C211" s="2" t="s">
        <v>126</v>
      </c>
    </row>
    <row r="212" spans="1:3">
      <c r="A212" s="2" t="s">
        <v>1023</v>
      </c>
      <c r="B212" s="12" t="s">
        <v>1140</v>
      </c>
      <c r="C212" s="2" t="s">
        <v>126</v>
      </c>
    </row>
    <row r="213" spans="1:3">
      <c r="A213" s="2" t="s">
        <v>1023</v>
      </c>
      <c r="B213" s="12" t="s">
        <v>1141</v>
      </c>
      <c r="C213" s="2" t="s">
        <v>126</v>
      </c>
    </row>
    <row r="214" spans="1:3">
      <c r="A214" s="2" t="s">
        <v>1023</v>
      </c>
      <c r="B214" s="12" t="s">
        <v>1142</v>
      </c>
      <c r="C214" s="2" t="s">
        <v>126</v>
      </c>
    </row>
    <row r="215" spans="1:3">
      <c r="A215" s="2" t="s">
        <v>1023</v>
      </c>
      <c r="B215" s="12" t="s">
        <v>1143</v>
      </c>
      <c r="C215" s="2" t="s">
        <v>126</v>
      </c>
    </row>
    <row r="216" spans="1:3">
      <c r="A216" s="2" t="s">
        <v>1023</v>
      </c>
      <c r="B216" s="12" t="s">
        <v>1144</v>
      </c>
      <c r="C216" s="2" t="s">
        <v>126</v>
      </c>
    </row>
    <row r="217" spans="1:3">
      <c r="A217" s="2" t="s">
        <v>1023</v>
      </c>
      <c r="B217" s="12" t="s">
        <v>1145</v>
      </c>
      <c r="C217" s="2" t="s">
        <v>126</v>
      </c>
    </row>
    <row r="218" spans="1:3">
      <c r="A218" s="2" t="s">
        <v>1023</v>
      </c>
      <c r="B218" s="12" t="s">
        <v>1146</v>
      </c>
      <c r="C218" s="2" t="s">
        <v>126</v>
      </c>
    </row>
    <row r="219" spans="1:3">
      <c r="A219" s="2" t="s">
        <v>1023</v>
      </c>
      <c r="B219" s="12" t="s">
        <v>1147</v>
      </c>
      <c r="C219" s="2" t="s">
        <v>126</v>
      </c>
    </row>
    <row r="220" spans="1:3">
      <c r="A220" s="2" t="s">
        <v>1023</v>
      </c>
      <c r="B220" s="12" t="s">
        <v>1148</v>
      </c>
      <c r="C220" s="2" t="s">
        <v>126</v>
      </c>
    </row>
    <row r="221" spans="1:3">
      <c r="A221" s="2" t="s">
        <v>1023</v>
      </c>
      <c r="B221" s="12" t="s">
        <v>1149</v>
      </c>
      <c r="C221" s="2" t="s">
        <v>126</v>
      </c>
    </row>
    <row r="222" spans="1:3">
      <c r="A222" s="2" t="s">
        <v>1023</v>
      </c>
      <c r="B222" s="12" t="s">
        <v>1150</v>
      </c>
      <c r="C222" s="2" t="s">
        <v>126</v>
      </c>
    </row>
    <row r="223" spans="1:3">
      <c r="A223" s="2" t="s">
        <v>1023</v>
      </c>
      <c r="B223" s="12" t="s">
        <v>1151</v>
      </c>
      <c r="C223" s="2" t="s">
        <v>126</v>
      </c>
    </row>
    <row r="224" spans="1:3">
      <c r="A224" s="2" t="s">
        <v>1023</v>
      </c>
      <c r="B224" s="12" t="s">
        <v>1152</v>
      </c>
      <c r="C224" s="2" t="s">
        <v>126</v>
      </c>
    </row>
    <row r="225" spans="1:3">
      <c r="A225" s="2" t="s">
        <v>1023</v>
      </c>
      <c r="B225" s="12" t="s">
        <v>1153</v>
      </c>
      <c r="C225" s="2" t="s">
        <v>126</v>
      </c>
    </row>
    <row r="226" spans="1:3">
      <c r="A226" s="2" t="s">
        <v>1023</v>
      </c>
      <c r="B226" s="12" t="s">
        <v>1154</v>
      </c>
      <c r="C226" s="2" t="s">
        <v>126</v>
      </c>
    </row>
    <row r="227" spans="1:3">
      <c r="A227" s="2" t="s">
        <v>1023</v>
      </c>
      <c r="B227" s="12" t="s">
        <v>1155</v>
      </c>
      <c r="C227" s="2" t="s">
        <v>126</v>
      </c>
    </row>
    <row r="228" spans="1:3">
      <c r="A228" s="2" t="s">
        <v>1023</v>
      </c>
      <c r="B228" s="12" t="s">
        <v>1156</v>
      </c>
      <c r="C228" s="2" t="s">
        <v>126</v>
      </c>
    </row>
    <row r="229" spans="1:3">
      <c r="A229" s="2" t="s">
        <v>1023</v>
      </c>
      <c r="B229" s="12" t="s">
        <v>1157</v>
      </c>
      <c r="C229" s="2" t="s">
        <v>126</v>
      </c>
    </row>
    <row r="230" spans="1:3">
      <c r="A230" s="2" t="s">
        <v>1023</v>
      </c>
      <c r="B230" s="12" t="s">
        <v>1158</v>
      </c>
      <c r="C230" s="2" t="s">
        <v>126</v>
      </c>
    </row>
    <row r="231" spans="1:3">
      <c r="A231" s="2" t="s">
        <v>1023</v>
      </c>
      <c r="B231" s="12" t="s">
        <v>1159</v>
      </c>
      <c r="C231" s="2" t="s">
        <v>126</v>
      </c>
    </row>
    <row r="232" spans="1:3">
      <c r="A232" s="2" t="s">
        <v>1023</v>
      </c>
      <c r="B232" s="12" t="s">
        <v>1160</v>
      </c>
      <c r="C232" s="2" t="s">
        <v>126</v>
      </c>
    </row>
    <row r="233" spans="1:3">
      <c r="A233" s="2" t="s">
        <v>1023</v>
      </c>
      <c r="B233" s="12" t="s">
        <v>1161</v>
      </c>
      <c r="C233" s="2" t="s">
        <v>126</v>
      </c>
    </row>
    <row r="234" spans="1:3">
      <c r="A234" s="2" t="s">
        <v>1023</v>
      </c>
      <c r="B234" s="12" t="s">
        <v>1162</v>
      </c>
      <c r="C234" s="2" t="s">
        <v>126</v>
      </c>
    </row>
    <row r="235" spans="1:3">
      <c r="A235" s="2" t="s">
        <v>1164</v>
      </c>
      <c r="B235" s="12" t="s">
        <v>1163</v>
      </c>
      <c r="C235" s="2" t="s">
        <v>128</v>
      </c>
    </row>
    <row r="236" spans="1:3">
      <c r="A236" s="2" t="s">
        <v>1164</v>
      </c>
      <c r="B236" s="12" t="s">
        <v>1165</v>
      </c>
      <c r="C236" s="2" t="s">
        <v>126</v>
      </c>
    </row>
    <row r="237" spans="1:3">
      <c r="A237" s="2" t="s">
        <v>1164</v>
      </c>
      <c r="B237" s="12" t="s">
        <v>1166</v>
      </c>
      <c r="C237" s="2" t="s">
        <v>126</v>
      </c>
    </row>
    <row r="238" spans="1:3">
      <c r="A238" s="2" t="s">
        <v>1164</v>
      </c>
      <c r="B238" s="12" t="s">
        <v>1167</v>
      </c>
      <c r="C238" s="2" t="s">
        <v>126</v>
      </c>
    </row>
    <row r="239" spans="1:3">
      <c r="A239" s="2" t="s">
        <v>1164</v>
      </c>
      <c r="B239" s="12" t="s">
        <v>1168</v>
      </c>
      <c r="C239" s="2" t="s">
        <v>126</v>
      </c>
    </row>
    <row r="240" spans="1:3">
      <c r="A240" s="2" t="s">
        <v>1164</v>
      </c>
      <c r="B240" s="12" t="s">
        <v>1169</v>
      </c>
      <c r="C240" s="2" t="s">
        <v>128</v>
      </c>
    </row>
    <row r="241" spans="1:3">
      <c r="A241" s="2" t="s">
        <v>1164</v>
      </c>
      <c r="B241" s="12" t="s">
        <v>1170</v>
      </c>
      <c r="C241" s="2" t="s">
        <v>128</v>
      </c>
    </row>
    <row r="242" spans="1:3">
      <c r="A242" s="2" t="s">
        <v>1164</v>
      </c>
      <c r="B242" s="12" t="s">
        <v>1171</v>
      </c>
      <c r="C242" s="2" t="s">
        <v>128</v>
      </c>
    </row>
    <row r="243" spans="1:3">
      <c r="A243" s="2" t="s">
        <v>1164</v>
      </c>
      <c r="B243" s="12" t="s">
        <v>1172</v>
      </c>
      <c r="C243" s="2" t="s">
        <v>128</v>
      </c>
    </row>
    <row r="244" spans="1:3">
      <c r="A244" s="2" t="s">
        <v>1164</v>
      </c>
      <c r="B244" s="12" t="s">
        <v>1173</v>
      </c>
      <c r="C244" s="2" t="s">
        <v>717</v>
      </c>
    </row>
    <row r="245" spans="1:3">
      <c r="A245" s="2" t="s">
        <v>1164</v>
      </c>
      <c r="B245" s="12" t="s">
        <v>1174</v>
      </c>
      <c r="C245" s="2" t="s">
        <v>717</v>
      </c>
    </row>
    <row r="246" spans="1:3">
      <c r="A246" s="2" t="s">
        <v>1176</v>
      </c>
      <c r="B246" s="12" t="s">
        <v>1175</v>
      </c>
      <c r="C246" s="2" t="s">
        <v>128</v>
      </c>
    </row>
    <row r="247" spans="1:3">
      <c r="A247" s="2" t="s">
        <v>1176</v>
      </c>
      <c r="B247" s="12" t="s">
        <v>1177</v>
      </c>
      <c r="C247" s="2" t="s">
        <v>128</v>
      </c>
    </row>
    <row r="248" spans="1:3">
      <c r="A248" s="2" t="s">
        <v>1176</v>
      </c>
      <c r="B248" s="12" t="s">
        <v>1178</v>
      </c>
      <c r="C248" s="2" t="s">
        <v>128</v>
      </c>
    </row>
    <row r="249" spans="1:3">
      <c r="A249" s="2" t="s">
        <v>1176</v>
      </c>
      <c r="B249" s="12" t="s">
        <v>1179</v>
      </c>
      <c r="C249" s="2" t="s">
        <v>128</v>
      </c>
    </row>
    <row r="250" spans="1:3">
      <c r="A250" s="2" t="s">
        <v>1176</v>
      </c>
      <c r="B250" s="12" t="s">
        <v>1180</v>
      </c>
      <c r="C250" s="2" t="s">
        <v>128</v>
      </c>
    </row>
    <row r="251" spans="1:3">
      <c r="A251" s="2" t="s">
        <v>1176</v>
      </c>
      <c r="B251" s="12" t="s">
        <v>1181</v>
      </c>
      <c r="C251" s="2" t="s">
        <v>128</v>
      </c>
    </row>
    <row r="252" spans="1:3">
      <c r="A252" s="2" t="s">
        <v>1176</v>
      </c>
      <c r="B252" s="12" t="s">
        <v>1182</v>
      </c>
      <c r="C252" s="2" t="s">
        <v>128</v>
      </c>
    </row>
    <row r="253" spans="1:3">
      <c r="A253" s="2" t="s">
        <v>1176</v>
      </c>
      <c r="B253" s="12" t="s">
        <v>1183</v>
      </c>
      <c r="C253" s="2" t="s">
        <v>128</v>
      </c>
    </row>
    <row r="254" spans="1:3">
      <c r="A254" s="2" t="s">
        <v>1176</v>
      </c>
      <c r="B254" s="12" t="s">
        <v>1184</v>
      </c>
      <c r="C254" s="2" t="s">
        <v>128</v>
      </c>
    </row>
    <row r="255" spans="1:3">
      <c r="A255" s="2" t="s">
        <v>1176</v>
      </c>
      <c r="B255" s="12" t="s">
        <v>1185</v>
      </c>
      <c r="C255" s="2" t="s">
        <v>126</v>
      </c>
    </row>
    <row r="256" spans="1:3">
      <c r="A256" s="2" t="s">
        <v>1176</v>
      </c>
      <c r="B256" s="12" t="s">
        <v>1186</v>
      </c>
      <c r="C256" s="2" t="s">
        <v>126</v>
      </c>
    </row>
    <row r="257" spans="1:3">
      <c r="A257" s="2" t="s">
        <v>1176</v>
      </c>
      <c r="B257" s="12" t="s">
        <v>1187</v>
      </c>
      <c r="C257" s="2" t="s">
        <v>126</v>
      </c>
    </row>
    <row r="258" spans="1:3">
      <c r="A258" s="2" t="s">
        <v>1176</v>
      </c>
      <c r="B258" s="12" t="s">
        <v>1188</v>
      </c>
      <c r="C258" s="2" t="s">
        <v>126</v>
      </c>
    </row>
    <row r="259" spans="1:3">
      <c r="A259" s="2" t="s">
        <v>1176</v>
      </c>
      <c r="B259" s="12" t="s">
        <v>1189</v>
      </c>
      <c r="C259" s="2" t="s">
        <v>126</v>
      </c>
    </row>
    <row r="260" spans="1:3">
      <c r="A260" s="2" t="s">
        <v>1176</v>
      </c>
      <c r="B260" s="12" t="s">
        <v>1190</v>
      </c>
      <c r="C260" s="2" t="s">
        <v>126</v>
      </c>
    </row>
    <row r="261" spans="1:3">
      <c r="A261" s="2" t="s">
        <v>1176</v>
      </c>
      <c r="B261" s="12" t="s">
        <v>1191</v>
      </c>
      <c r="C261" s="2" t="s">
        <v>126</v>
      </c>
    </row>
    <row r="262" spans="1:3">
      <c r="A262" s="2" t="s">
        <v>1176</v>
      </c>
      <c r="B262" s="12" t="s">
        <v>1192</v>
      </c>
      <c r="C262" s="2" t="s">
        <v>128</v>
      </c>
    </row>
    <row r="263" spans="1:3">
      <c r="A263" s="2" t="s">
        <v>1176</v>
      </c>
      <c r="B263" s="12" t="s">
        <v>1193</v>
      </c>
      <c r="C263" s="2" t="s">
        <v>126</v>
      </c>
    </row>
    <row r="264" spans="1:3">
      <c r="A264" s="2" t="s">
        <v>1176</v>
      </c>
      <c r="B264" s="12" t="s">
        <v>1194</v>
      </c>
      <c r="C264" s="2" t="s">
        <v>126</v>
      </c>
    </row>
    <row r="265" spans="1:3">
      <c r="A265" s="2" t="s">
        <v>1176</v>
      </c>
      <c r="B265" s="12" t="s">
        <v>1195</v>
      </c>
      <c r="C265" s="2" t="s">
        <v>126</v>
      </c>
    </row>
    <row r="266" spans="1:3">
      <c r="A266" s="2" t="s">
        <v>1176</v>
      </c>
      <c r="B266" s="12" t="s">
        <v>1196</v>
      </c>
      <c r="C266" s="2" t="s">
        <v>128</v>
      </c>
    </row>
    <row r="267" spans="1:3">
      <c r="A267" s="2" t="s">
        <v>1176</v>
      </c>
      <c r="B267" s="12" t="s">
        <v>1197</v>
      </c>
      <c r="C267" s="2" t="s">
        <v>126</v>
      </c>
    </row>
    <row r="268" spans="1:3">
      <c r="A268" s="2" t="s">
        <v>1176</v>
      </c>
      <c r="B268" s="12" t="s">
        <v>1198</v>
      </c>
      <c r="C268" s="2" t="s">
        <v>126</v>
      </c>
    </row>
    <row r="269" spans="1:3">
      <c r="A269" s="2" t="s">
        <v>1176</v>
      </c>
      <c r="B269" s="12" t="s">
        <v>1199</v>
      </c>
      <c r="C269" s="2" t="s">
        <v>126</v>
      </c>
    </row>
    <row r="270" spans="1:3">
      <c r="A270" s="2" t="s">
        <v>1176</v>
      </c>
      <c r="B270" s="12" t="s">
        <v>1200</v>
      </c>
      <c r="C270" s="2" t="s">
        <v>126</v>
      </c>
    </row>
    <row r="271" spans="1:3">
      <c r="A271" s="2" t="s">
        <v>1176</v>
      </c>
      <c r="B271" s="12" t="s">
        <v>1201</v>
      </c>
      <c r="C271" s="2" t="s">
        <v>126</v>
      </c>
    </row>
    <row r="272" spans="1:3">
      <c r="A272" s="2" t="s">
        <v>1176</v>
      </c>
      <c r="B272" s="12" t="s">
        <v>1202</v>
      </c>
      <c r="C272" s="2" t="s">
        <v>126</v>
      </c>
    </row>
    <row r="273" spans="1:3">
      <c r="A273" s="2" t="s">
        <v>1176</v>
      </c>
      <c r="B273" s="12" t="s">
        <v>1203</v>
      </c>
      <c r="C273" s="2" t="s">
        <v>126</v>
      </c>
    </row>
    <row r="274" spans="1:3">
      <c r="A274" s="2" t="s">
        <v>1176</v>
      </c>
      <c r="B274" s="12" t="s">
        <v>1204</v>
      </c>
      <c r="C274" s="2" t="s">
        <v>126</v>
      </c>
    </row>
    <row r="275" spans="1:3">
      <c r="A275" s="2" t="s">
        <v>1176</v>
      </c>
      <c r="B275" s="12" t="s">
        <v>1205</v>
      </c>
      <c r="C275" s="2" t="s">
        <v>126</v>
      </c>
    </row>
    <row r="276" spans="1:3">
      <c r="A276" s="2" t="s">
        <v>1176</v>
      </c>
      <c r="B276" s="12" t="s">
        <v>1206</v>
      </c>
      <c r="C276" s="2" t="s">
        <v>126</v>
      </c>
    </row>
    <row r="277" spans="1:3">
      <c r="A277" s="2" t="s">
        <v>1176</v>
      </c>
      <c r="B277" s="12" t="s">
        <v>1207</v>
      </c>
      <c r="C277" s="2" t="s">
        <v>126</v>
      </c>
    </row>
    <row r="278" spans="1:3">
      <c r="A278" s="2" t="s">
        <v>1176</v>
      </c>
      <c r="B278" s="12" t="s">
        <v>1208</v>
      </c>
      <c r="C278" s="2" t="s">
        <v>845</v>
      </c>
    </row>
    <row r="279" spans="1:3">
      <c r="A279" s="2" t="s">
        <v>1176</v>
      </c>
      <c r="B279" s="12" t="s">
        <v>1209</v>
      </c>
      <c r="C279" s="2" t="s">
        <v>846</v>
      </c>
    </row>
    <row r="280" spans="1:3">
      <c r="A280" s="2" t="s">
        <v>1176</v>
      </c>
      <c r="B280" s="12" t="s">
        <v>1210</v>
      </c>
      <c r="C280" s="2" t="s">
        <v>846</v>
      </c>
    </row>
    <row r="281" spans="1:3">
      <c r="A281" s="2" t="s">
        <v>1176</v>
      </c>
      <c r="B281" s="12" t="s">
        <v>1211</v>
      </c>
      <c r="C281" s="2" t="s">
        <v>126</v>
      </c>
    </row>
    <row r="282" spans="1:3">
      <c r="A282" s="2" t="s">
        <v>1212</v>
      </c>
      <c r="B282" s="12" t="s">
        <v>854</v>
      </c>
      <c r="C282" s="2" t="s">
        <v>128</v>
      </c>
    </row>
    <row r="283" spans="1:3">
      <c r="A283" s="2" t="s">
        <v>1212</v>
      </c>
      <c r="B283" s="12" t="s">
        <v>860</v>
      </c>
      <c r="C283" s="2" t="s">
        <v>128</v>
      </c>
    </row>
    <row r="284" spans="1:3">
      <c r="A284" s="2" t="s">
        <v>1212</v>
      </c>
      <c r="B284" s="12" t="s">
        <v>866</v>
      </c>
      <c r="C284" s="2" t="s">
        <v>128</v>
      </c>
    </row>
    <row r="286" spans="1:3" ht="21" customHeight="1">
      <c r="A286" s="1" t="s">
        <v>1213</v>
      </c>
    </row>
    <row r="287" spans="1:3">
      <c r="A287" s="2" t="s">
        <v>1214</v>
      </c>
    </row>
    <row r="288" spans="1:3">
      <c r="A288" s="2" t="s">
        <v>1215</v>
      </c>
    </row>
    <row r="289" spans="1:1">
      <c r="A289" s="2" t="s">
        <v>1216</v>
      </c>
    </row>
    <row r="290" spans="1:1">
      <c r="A290" s="2" t="s">
        <v>1217</v>
      </c>
    </row>
    <row r="291" spans="1:1">
      <c r="A291" s="2" t="s">
        <v>1218</v>
      </c>
    </row>
    <row r="292" spans="1:1">
      <c r="A292" s="2" t="s">
        <v>1219</v>
      </c>
    </row>
    <row r="293" spans="1:1">
      <c r="A293" s="2" t="s">
        <v>1220</v>
      </c>
    </row>
    <row r="294" spans="1:1">
      <c r="A294" s="2" t="s">
        <v>1221</v>
      </c>
    </row>
    <row r="295" spans="1:1">
      <c r="A295" s="2" t="s">
        <v>1222</v>
      </c>
    </row>
    <row r="296" spans="1:1">
      <c r="A296" s="2" t="s">
        <v>1223</v>
      </c>
    </row>
    <row r="297" spans="1:1">
      <c r="A297" s="2" t="s">
        <v>1224</v>
      </c>
    </row>
    <row r="298" spans="1:1">
      <c r="A298" s="2" t="s">
        <v>1225</v>
      </c>
    </row>
    <row r="299" spans="1:1">
      <c r="A299" s="2" t="s">
        <v>1226</v>
      </c>
    </row>
    <row r="300" spans="1:1">
      <c r="A300" s="2" t="s">
        <v>1227</v>
      </c>
    </row>
    <row r="301" spans="1:1">
      <c r="A301" s="2" t="s">
        <v>1228</v>
      </c>
    </row>
    <row r="302" spans="1:1">
      <c r="A302" s="2" t="s">
        <v>1229</v>
      </c>
    </row>
    <row r="303" spans="1:1">
      <c r="A303" s="2" t="s">
        <v>1230</v>
      </c>
    </row>
    <row r="304" spans="1:1">
      <c r="A304" s="2" t="s">
        <v>1231</v>
      </c>
    </row>
    <row r="305" spans="1:1">
      <c r="A305" s="2" t="s">
        <v>1232</v>
      </c>
    </row>
    <row r="306" spans="1:1">
      <c r="A306" s="2" t="s">
        <v>1233</v>
      </c>
    </row>
    <row r="307" spans="1:1">
      <c r="A307" s="2" t="s">
        <v>1234</v>
      </c>
    </row>
    <row r="308" spans="1:1">
      <c r="A308" s="2" t="s">
        <v>1235</v>
      </c>
    </row>
    <row r="309" spans="1:1">
      <c r="A309" s="2" t="s">
        <v>1236</v>
      </c>
    </row>
    <row r="310" spans="1:1">
      <c r="A310" s="2" t="s">
        <v>1237</v>
      </c>
    </row>
    <row r="311" spans="1:1">
      <c r="A311" s="2" t="s">
        <v>1238</v>
      </c>
    </row>
    <row r="312" spans="1:1">
      <c r="A312" s="2" t="s">
        <v>1239</v>
      </c>
    </row>
    <row r="313" spans="1:1">
      <c r="A313" s="2" t="s">
        <v>1240</v>
      </c>
    </row>
    <row r="314" spans="1:1">
      <c r="A314" s="2" t="s">
        <v>1241</v>
      </c>
    </row>
    <row r="315" spans="1:1">
      <c r="A315" s="2" t="s">
        <v>1242</v>
      </c>
    </row>
    <row r="316" spans="1:1">
      <c r="A316" s="2" t="s">
        <v>1243</v>
      </c>
    </row>
    <row r="317" spans="1:1">
      <c r="A317" s="2" t="s">
        <v>1244</v>
      </c>
    </row>
    <row r="318" spans="1:1">
      <c r="A318" s="2" t="s">
        <v>1245</v>
      </c>
    </row>
    <row r="319" spans="1:1">
      <c r="A319" s="2" t="s">
        <v>1246</v>
      </c>
    </row>
    <row r="320" spans="1:1">
      <c r="A320" s="2" t="s">
        <v>1247</v>
      </c>
    </row>
    <row r="321" spans="1:1">
      <c r="A321" s="2" t="s">
        <v>1248</v>
      </c>
    </row>
    <row r="322" spans="1:1">
      <c r="A322" s="2" t="s">
        <v>1249</v>
      </c>
    </row>
    <row r="323" spans="1:1">
      <c r="A323" s="2" t="s">
        <v>1250</v>
      </c>
    </row>
    <row r="324" spans="1:1">
      <c r="A324" s="2" t="s">
        <v>1251</v>
      </c>
    </row>
    <row r="325" spans="1:1">
      <c r="A325" s="2" t="s">
        <v>1252</v>
      </c>
    </row>
    <row r="326" spans="1:1">
      <c r="A326" s="2" t="s">
        <v>1253</v>
      </c>
    </row>
    <row r="327" spans="1:1">
      <c r="A327" s="2" t="s">
        <v>1254</v>
      </c>
    </row>
    <row r="328" spans="1:1">
      <c r="A328" s="2" t="s">
        <v>1255</v>
      </c>
    </row>
    <row r="329" spans="1:1">
      <c r="A329" s="2" t="s">
        <v>1256</v>
      </c>
    </row>
    <row r="330" spans="1:1">
      <c r="A330" s="2" t="s">
        <v>1257</v>
      </c>
    </row>
    <row r="331" spans="1:1">
      <c r="A331" s="2" t="s">
        <v>1258</v>
      </c>
    </row>
    <row r="332" spans="1:1">
      <c r="A332" s="2" t="s">
        <v>1259</v>
      </c>
    </row>
    <row r="333" spans="1:1">
      <c r="A333" s="2" t="s">
        <v>1260</v>
      </c>
    </row>
    <row r="334" spans="1:1">
      <c r="A334" s="2" t="s">
        <v>1261</v>
      </c>
    </row>
    <row r="335" spans="1:1">
      <c r="A335" s="2" t="s">
        <v>1262</v>
      </c>
    </row>
    <row r="336" spans="1:1">
      <c r="A336" s="2" t="s">
        <v>1263</v>
      </c>
    </row>
    <row r="337" spans="1:1">
      <c r="A337" s="2" t="s">
        <v>1264</v>
      </c>
    </row>
    <row r="338" spans="1:1">
      <c r="A338" s="2" t="s">
        <v>1265</v>
      </c>
    </row>
    <row r="339" spans="1:1">
      <c r="A339" s="2" t="s">
        <v>1266</v>
      </c>
    </row>
    <row r="340" spans="1:1">
      <c r="A340" s="2" t="s">
        <v>1267</v>
      </c>
    </row>
    <row r="341" spans="1:1">
      <c r="A341" s="2" t="s">
        <v>1268</v>
      </c>
    </row>
    <row r="342" spans="1:1">
      <c r="A342" s="2" t="s">
        <v>1269</v>
      </c>
    </row>
    <row r="343" spans="1:1">
      <c r="A343" s="2" t="s">
        <v>1270</v>
      </c>
    </row>
    <row r="344" spans="1:1">
      <c r="A344" s="2"/>
    </row>
    <row r="345" spans="1:1">
      <c r="A345" s="2" t="s">
        <v>1271</v>
      </c>
    </row>
  </sheetData>
  <autoFilter ref="A23:C284"/>
  <hyperlinks>
    <hyperlink ref="B24" location="'913'!B5" display="913. Location name/ID (in LRIC power flow modelling data)"/>
    <hyperlink ref="B25" location="'913'!C5" display="913. Demand or Generation (in LRIC power flow modelling data)"/>
    <hyperlink ref="B26" location="'913'!D5" display="913. Linked location (if any) (in LRIC power flow modelling data)"/>
    <hyperlink ref="B27" location="'913'!E5" display="913. Local charge 1 £/kVA/year (in LRIC power flow modelling data)"/>
    <hyperlink ref="B28" location="'913'!F5" display="913. Remote charge 1 £/kVA/year (in LRIC power flow modelling data)"/>
    <hyperlink ref="B29" location="'913'!G5" display="913. Not used (in LRIC power flow modelling data)"/>
    <hyperlink ref="B30" location="'913'!H5" display="913. Not used (in LRIC power flow modelling data)"/>
    <hyperlink ref="B31" location="'913'!I5" display="913. Maximum demand run: kW (in LRIC power flow modelling data)"/>
    <hyperlink ref="B32" location="'913'!J5" display="913. Maximum demand run: kVAr (in LRIC power flow modelling data)"/>
    <hyperlink ref="B33" location="'913'!K5" display="913. Not used (in LRIC power flow modelling data)"/>
    <hyperlink ref="B34" location="'913'!L5" display="913. Not used (in LRIC power flow modelling data)"/>
    <hyperlink ref="B35" location="'935'!B6" display="935. Name (in Tariff data)"/>
    <hyperlink ref="B36" location="'935'!C6" display="935. Maximum import capacity (kVA) (in Tariff data)"/>
    <hyperlink ref="B37" location="'935'!D6" display="935. Exempt export capacity (kVA) (in Tariff data)"/>
    <hyperlink ref="B38" location="'935'!E6" display="935. Non-exempt pre-2005 export capacity (kVA) (in Tariff data)"/>
    <hyperlink ref="B39" location="'935'!F6" display="935. Non-exempt 2005-2010 export capacity (kVA) (in Tariff data)"/>
    <hyperlink ref="B40" location="'935'!G6" display="935. Non-exempt post-2010 export capacity (kVA) (in Tariff data)"/>
    <hyperlink ref="B41" location="'935'!H6" display="935. Sole use asset MEAV (£) (in Tariff data)"/>
    <hyperlink ref="B42" location="'935'!I6" display="935. LRIC location (in Tariff data)"/>
    <hyperlink ref="B43" location="'935'!J6" display="935. Customer category for demand scaling (in Tariff data)"/>
    <hyperlink ref="B44" location="'935'!K6" display="935. Network use factor (in Tariff data)"/>
    <hyperlink ref="B45" location="'935'!P6" display="935. Super red kW import divided by kVA capacity (in Tariff data)"/>
    <hyperlink ref="B46" location="'935'!Q6" display="935. Super red kVAr import divided by kVA capacity (in Tariff data)"/>
    <hyperlink ref="B47" location="'935'!R6" display="935. Proportion exposed to indirect cost allocation (in Tariff data)"/>
    <hyperlink ref="B48" location="'935'!S6" display="935. Capacity subject to DSM (kVA) (in Tariff data)"/>
    <hyperlink ref="B49" location="'935'!T6" display="935. Super red units exported (kWh) (in Tariff data)"/>
    <hyperlink ref="B50" location="'935'!U6" display="935. Capacity eligible for GSP generation credits (kW) (in Tariff data)"/>
    <hyperlink ref="B51" location="'935'!V6" display="935. Proportion eligible for charge 1 credits (in Tariff data)"/>
    <hyperlink ref="B52" location="'935'!W6" display="935. Days for which not a customer (in Tariff data)"/>
    <hyperlink ref="B53" location="'935'!X6" display="935. Hours in super-red for which not a customer (in Tariff data)"/>
    <hyperlink ref="B54" location="'935'!Y6" display="935. Import charge in previous charging year (£/year) (in Tariff data)"/>
    <hyperlink ref="B55" location="'935'!Z6" display="935. Export charge in previous charging year (£/year) (in Tariff data)"/>
    <hyperlink ref="B56" location="'935'!AA6" display="935. LLFC import (in Tariff data)"/>
    <hyperlink ref="B57" location="'935'!AB6" display="935. LLFC export (in Tariff data)"/>
    <hyperlink ref="B58" location="'11'!B6" display="1100. Company, charging year, data version"/>
    <hyperlink ref="B59" location="'11'!B11" display="1105. Diversity allowance between level exit and GSP Group (from CDCM table 2611)"/>
    <hyperlink ref="B60" location="'11'!B16" display="1113. Days in year (in General inputs)"/>
    <hyperlink ref="B61" location="'11'!C16" display="1113. O&amp;M charging rate based on FBPQ data (£/kW/year) (in General inputs)"/>
    <hyperlink ref="B62" location="'11'!D16" display="1113. Annual hours in super red (in General inputs)"/>
    <hyperlink ref="B63" location="'11'!E16" display="1113. The amount of money that the DNO wants to raise from use of system charges, less transmission exit (£/year) (in General inputs)"/>
    <hyperlink ref="B64" location="'11'!F16" display="1113. Transmission exit charges (£/year) (in General inputs)"/>
    <hyperlink ref="B65" location="'11'!G16" display="1113. Direct cost (£/year) (in General inputs)"/>
    <hyperlink ref="B66" location="'11'!H16" display="1113. Indirect cost (£/year) (in General inputs)"/>
    <hyperlink ref="B67" location="'11'!I16" display="1113. Network rates (£/year) (in General inputs)"/>
    <hyperlink ref="B68" location="'11'!J16" display="1113. Average adjusted GP (£/year) (in General inputs)"/>
    <hyperlink ref="B69" location="'11'!K16" display="1113. GL term from the DG incentive revenue calculation (£/year) (in General inputs)"/>
    <hyperlink ref="B70" location="'11'!L16" display="1113. Total CDCM generation capacity 2005-2010 (kVA) (in General inputs)"/>
    <hyperlink ref="B71" location="'11'!M16" display="1113. Total CDCM generation capacity post-2010 (kVA) (in General inputs)"/>
    <hyperlink ref="B72" location="'11'!B21" display="1122. Forecast system simultaneous maximum load (kW) from CDCM users (from CDCM table 2506)"/>
    <hyperlink ref="B73" location="'11'!B26" display="1131. Assets in CDCM model (£) (from CDCM table 2705 or 2706)"/>
    <hyperlink ref="B74" location="'11'!B31" display="1132. Override notional asset rate for 132kV/HV (£/kW)"/>
    <hyperlink ref="B75" location="'11'!B36" display="1133. Maximum network use factor"/>
    <hyperlink ref="B76" location="'11'!B41" display="1134. Minimum network use factor"/>
    <hyperlink ref="B77" location="'11'!B46" display="1135. Loss adjustment factor to transmission for each network level (from CDCM table 2004)"/>
    <hyperlink ref="B78" location="'11'!B51" display="1190. Is this the master model containing all the tariff data?"/>
    <hyperlink ref="B79" location="'11'!B56" display="1191. Baseline total EDCM peak time consumption (kW) (in Baseline EDCM demand aggregates)"/>
    <hyperlink ref="B80" location="'11'!C56" display="1191. Baseline total marginal effect of indirect cost adder (kVA) (in Baseline EDCM demand aggregates)"/>
    <hyperlink ref="B81" location="'11'!D56" display="1191. Baseline total marginal effect of demand adder (kVA) (in Baseline EDCM demand aggregates)"/>
    <hyperlink ref="B82" location="'11'!E56" display="1191. Baseline revenue from demand charge 1 (£/year) (in Baseline EDCM demand aggregates)"/>
    <hyperlink ref="B83" location="'11'!B61" display="1192. Baseline total chargeable export capacity (kVA) (in Baseline EDCM generation aggregates)"/>
    <hyperlink ref="B84" location="'11'!C61" display="1192. Baseline total non-exempt 2005-2010 export capacity (kVA) (in Baseline EDCM generation aggregates)"/>
    <hyperlink ref="B85" location="'11'!D61" display="1192. Baseline total non-exempt post-2010 export capacity (kVA) (in Baseline EDCM generation aggregates)"/>
    <hyperlink ref="B86" location="'11'!E61" display="1192. Baseline net forecast EDCM generation revenue (£/year) (in Baseline EDCM generation aggregates)"/>
    <hyperlink ref="B87" location="'11'!B66" display="1193. Baseline total sole use assets for demand (£) (in Baseline EDCM notional asset aggregates)"/>
    <hyperlink ref="B88" location="'11'!C66" display="1193. Baseline total sole use assets for generation (£) (in Baseline EDCM notional asset aggregates)"/>
    <hyperlink ref="B89" location="'11'!D66" display="1193. Baseline total notional capacity assets (£) (in Baseline EDCM notional asset aggregates)"/>
    <hyperlink ref="B90" location="'11'!E66" display="1193. Baseline total notional consumption assets (£) (in Baseline EDCM notional asset aggregates)"/>
    <hyperlink ref="B91" location="'11'!F66" display="1193. Baseline total non sole use notional assets subject to matching (£) (in Baseline EDCM notional asset aggregates)"/>
    <hyperlink ref="B92" location="'Calc'!B6" display="4002. EHV asset levels"/>
    <hyperlink ref="B93" location="'Calc'!B12" display="4004. HV and LV network asset levels"/>
    <hyperlink ref="B94" location="'Calc'!B18" display="4006. HV and LV service asset levels"/>
    <hyperlink ref="B95" location="'Calc'!B32" display="4008. Is this the master model?"/>
    <hyperlink ref="B96" location="'Calc'!C32" display="4008. EHV assets in CDCM model (£)"/>
    <hyperlink ref="B97" location="'Calc'!D32" display="4008. HV and LV network assets in CDCM model (£)"/>
    <hyperlink ref="B98" location="'Calc'!E32" display="4008. HV and LV service assets in CDCM model (£)"/>
    <hyperlink ref="B99" location="'Calc'!F32" display="4008. Total CDCM peak time consumption (kW)"/>
    <hyperlink ref="B100" location="'Calc'!B47" display="4010. Notional asset rate (£/kW)"/>
    <hyperlink ref="B101" location="'Calc'!H47" display="4010. Notional asset rate for 132kV/HV (£/kW)"/>
    <hyperlink ref="B102" location="'Calc'!I47" display="4010. Notional asset rate adjusted (£/kW)"/>
    <hyperlink ref="B103" location="'Calc'!B70" display="4012. Weighting of each tariff for reconciliation of totals"/>
    <hyperlink ref="B104" location="'Calc'!C70" display="4012. Has import charges?"/>
    <hyperlink ref="B105" location="'Calc'!D70" display="4012. Maximum import capacity adjusted for part-year (kVA)"/>
    <hyperlink ref="B106" location="'Calc'!E70" display="4012. Non-DSM import capacity adjusted for part-year (kVA)"/>
    <hyperlink ref="B107" location="'Calc'!F70" display="4012. Has export charges?"/>
    <hyperlink ref="B108" location="'Calc'!G70" display="4012. Capacity eligible for GSP generation credits (kW) adjusted for part-year"/>
    <hyperlink ref="B109" location="'Calc'!H70" display="4012. Exempt export capacity (kVA) adjusted for part-year"/>
    <hyperlink ref="B110" location="'Calc'!I70" display="4012. Non-exempt pre-2005 export capacity (kVA) adjusted for part-year"/>
    <hyperlink ref="B111" location="'Calc'!J70" display="4012. Non-exempt 2005-2010 export capacity (kVA) adjusted for part-year"/>
    <hyperlink ref="B112" location="'Calc'!K70" display="4012. Non-exempt post-2010 export capacity (kVA) adjusted for part-year"/>
    <hyperlink ref="B113" location="'Calc'!L70" display="4012. Chargeable export capacity adjusted for part-year (kVA)"/>
    <hyperlink ref="B114" location="'Calc'!B78" display="4014. Mapping of customer category to loss factor (in Rules applicable to customer categories)"/>
    <hyperlink ref="B115" location="'Calc'!C78" display="4014. Treatment of network assets (1: capacity; 2+: consumption) (in Rules applicable to customer categories)"/>
    <hyperlink ref="B116" location="'Calc'!B99" display="4016. EHV operating expenditure intensity"/>
    <hyperlink ref="B117" location="'Calc'!C99" display="4016. Power factor in 500 MW model"/>
    <hyperlink ref="B118" location="'Calc'!D99" display="4016. Factor for the allocation of capacity scaling"/>
    <hyperlink ref="B119" location="'Calc'!E99" display="4016. Proportion of residual to go into fixed adder"/>
    <hyperlink ref="B120" location="'Calc'!B125" display="4018. Super red kW divided by kVA adjusted for part-year"/>
    <hyperlink ref="B121" location="'Calc'!C125" display="4018. Sole use asset MEAV for demand (£)"/>
    <hyperlink ref="B122" location="'Calc'!D125" display="4018. Sole use asset MEAV for non-exempt generation (£)"/>
    <hyperlink ref="B123" location="'Calc'!E125" display="4018. Demand sole use asset MEAV adjusted for part-year (£)"/>
    <hyperlink ref="B124" location="'Calc'!F125" display="4018. Generation sole use asset MEAV adjusted for part-year (£)"/>
    <hyperlink ref="B125" location="'Calc'!G125" display="4018. Index of customer category"/>
    <hyperlink ref="B126" location="'Calc'!H125" display="4018. Loss factor to transmission"/>
    <hyperlink ref="B127" location="'Calc'!I125" display="4018. Peak-time active power consumption adjusted to transmission (kW/kVA)"/>
    <hyperlink ref="B128" location="'Calc'!J125" display="4018. Active power equivalent of capacity adjusted to transmission (kW/kVA)"/>
    <hyperlink ref="B129" location="'Calc'!B145" display="4020. Adjusted network use by capacity"/>
    <hyperlink ref="B130" location="'Calc'!G145" display="4020. Capacity assets (£/kVA)"/>
    <hyperlink ref="B131" location="'Calc'!H145" display="4020. Adjusted network use by consumption"/>
    <hyperlink ref="B132" location="'Calc'!M145" display="4020. Consumption assets (£/kVA)"/>
    <hyperlink ref="B133" location="'Calc'!B157" display="4022. Network use factors (second set)"/>
    <hyperlink ref="B134" location="'Calc'!B177" display="4024. Second set of adjusted network use by capacity"/>
    <hyperlink ref="B135" location="'Calc'!G177" display="4024. Second set of capacity assets (£/kVA)"/>
    <hyperlink ref="B136" location="'Calc'!H177" display="4024. Second set of adjusted network use by consumption"/>
    <hyperlink ref="B137" location="'Calc'!M177" display="4024. Second set of consumption assets (£/kVA)"/>
    <hyperlink ref="B138" location="'Calc'!B197" display="4026. Location"/>
    <hyperlink ref="B139" location="'Calc'!C197" display="4026. Linked location 1"/>
    <hyperlink ref="B140" location="'Calc'!D197" display="4026. Linked location 2"/>
    <hyperlink ref="B141" location="'Calc'!E197" display="4026. Linked location 3"/>
    <hyperlink ref="B142" location="'Calc'!F197" display="4026. Linked location 4"/>
    <hyperlink ref="B143" location="'Calc'!G197" display="4026. Linked location 5"/>
    <hyperlink ref="B144" location="'Calc'!H197" display="4026. Linked location 6"/>
    <hyperlink ref="B145" location="'Calc'!I197" display="4026. Linked location 7"/>
    <hyperlink ref="B146" location="'Calc'!B216" display="4028. Local charge 1 £/kVA/year at Location"/>
    <hyperlink ref="B147" location="'Calc'!C216" display="4028. Local charge 1 £/kVA/year at Linked location 1"/>
    <hyperlink ref="B148" location="'Calc'!D216" display="4028. Local charge 1 £/kVA/year at Linked location 2"/>
    <hyperlink ref="B149" location="'Calc'!E216" display="4028. Local charge 1 £/kVA/year at Linked location 3"/>
    <hyperlink ref="B150" location="'Calc'!F216" display="4028. Local charge 1 £/kVA/year at Linked location 4"/>
    <hyperlink ref="B151" location="'Calc'!G216" display="4028. Local charge 1 £/kVA/year at Linked location 5"/>
    <hyperlink ref="B152" location="'Calc'!H216" display="4028. Local charge 1 £/kVA/year at Linked location 6"/>
    <hyperlink ref="B153" location="'Calc'!I216" display="4028. Local charge 1 £/kVA/year at Linked location 7"/>
    <hyperlink ref="B154" location="'Calc'!B235" display="4030. Network charge 1 £/kVA/year at Location"/>
    <hyperlink ref="B155" location="'Calc'!C235" display="4030. Network charge 1 £/kVA/year at Linked location 1"/>
    <hyperlink ref="B156" location="'Calc'!D235" display="4030. Network charge 1 £/kVA/year at Linked location 2"/>
    <hyperlink ref="B157" location="'Calc'!E235" display="4030. Network charge 1 £/kVA/year at Linked location 3"/>
    <hyperlink ref="B158" location="'Calc'!F235" display="4030. Network charge 1 £/kVA/year at Linked location 4"/>
    <hyperlink ref="B159" location="'Calc'!G235" display="4030. Network charge 1 £/kVA/year at Linked location 5"/>
    <hyperlink ref="B160" location="'Calc'!H235" display="4030. Network charge 1 £/kVA/year at Linked location 6"/>
    <hyperlink ref="B161" location="'Calc'!I235" display="4030. Network charge 1 £/kVA/year at Linked location 7"/>
    <hyperlink ref="B162" location="'Calc'!B255" display="4032. Maximum demand run kVA at Location"/>
    <hyperlink ref="B163" location="'Calc'!C255" display="4032. Maximum demand run kVA at Linked location 1"/>
    <hyperlink ref="B164" location="'Calc'!D255" display="4032. Maximum demand run kVA at Linked location 2"/>
    <hyperlink ref="B165" location="'Calc'!E255" display="4032. Maximum demand run kVA at Linked location 3"/>
    <hyperlink ref="B166" location="'Calc'!F255" display="4032. Maximum demand run kVA at Linked location 4"/>
    <hyperlink ref="B167" location="'Calc'!G255" display="4032. Maximum demand run kVA at Linked location 5"/>
    <hyperlink ref="B168" location="'Calc'!H255" display="4032. Maximum demand run kVA at Linked location 6"/>
    <hyperlink ref="B169" location="'Calc'!I255" display="4032. Maximum demand run kVA at Linked location 7"/>
    <hyperlink ref="B170" location="'Calc'!B300" display="4034. Average local charge 1 (£/kVA/year)"/>
    <hyperlink ref="B171" location="'Calc'!C300" display="4034. Average network charge 1 (£/kVA/year)"/>
    <hyperlink ref="B172" location="'Calc'!D300" display="4034. Total active power in maximum demand scenario (kW)"/>
    <hyperlink ref="B173" location="'Calc'!E300" display="4034. Inverse power factor, maximum demand (kVA/kW)"/>
    <hyperlink ref="B174" location="'Calc'!B321" display="4036. Import demand charge p/kVA/day"/>
    <hyperlink ref="B175" location="'Calc'!C321" display="4036. Import capacity charge p/kVA/day"/>
    <hyperlink ref="B176" location="'Calc'!D321" display="4036. Super red rate p/kWh"/>
    <hyperlink ref="B177" location="'Calc'!E321" display="4036. Generation credit (before exempt adjustment) p/kWh"/>
    <hyperlink ref="B178" location="'Calc'!F321" display="4036. Generation credit (unrounded) p/kWh"/>
    <hyperlink ref="B179" location="'Calc'!G321" display="4036. Export super-red unit rate (p/kWh)"/>
    <hyperlink ref="B180" location="'Calc'!B345" display="4038. Adjustment to exceeded import capacity charge for DSM (p/kVA/day)"/>
    <hyperlink ref="B181" location="'Calc'!C345" display="4038. Super red unit rate adjusted for DSM (p/kWh)"/>
    <hyperlink ref="B182" location="'Calc'!D345" display="4038. Import capacity charge from charge 1 (p/kVA/day)"/>
    <hyperlink ref="B183" location="'Calc'!E345" display="4038. Number of super-red hours connected in year"/>
    <hyperlink ref="B184" location="'Calc'!F345" display="4038. Marginal revenue effect of demand adder"/>
    <hyperlink ref="B185" location="'Calc'!G345" display="4038. Data for capacity-based allocation of indirect costs"/>
    <hyperlink ref="B186" location="'Calc'!H345" display="4038. Non sole use notional assets subject to matching (£)"/>
    <hyperlink ref="B187" location="'Calc'!B385" display="4040. Total sole use assets for demand (£)"/>
    <hyperlink ref="B188" location="'Calc'!C385" display="4040. Capacity assets (£)"/>
    <hyperlink ref="B189" location="'Calc'!D385" display="4040. Consumption assets (£)"/>
    <hyperlink ref="B190" location="'Calc'!E385" display="4040. Total sole use assets for generation (£)"/>
    <hyperlink ref="B191" location="'Calc'!F385" display="4040. All notional assets in EDCM (£)"/>
    <hyperlink ref="B192" location="'Calc'!G385" display="4040. Total EDCM peak time consumption (kW)"/>
    <hyperlink ref="B193" location="'Calc'!H385" display="4040. Estimated total peak-time consumption (kW)"/>
    <hyperlink ref="B194" location="'Calc'!I385" display="4040. Transmission exit charging rate (£/kW/year)"/>
    <hyperlink ref="B195" location="'Calc'!J385" display="4040. Direct cost charging rate"/>
    <hyperlink ref="B196" location="'Calc'!K385" display="4040. Network rates charging rate"/>
    <hyperlink ref="B197" location="'Calc'!L385" display="4040. Indirect cost charging rate"/>
    <hyperlink ref="B198" location="'Calc'!M385" display="4040. Indirect costs on EDCM demand (£/year)"/>
    <hyperlink ref="B199" location="'Calc'!B429" display="4042. Direct costs on EDCM demand except through sole use asset charges (£/year)"/>
    <hyperlink ref="B200" location="'Calc'!C429" display="4042. Network rates on EDCM demand except through sole use asset charges (£/year)"/>
    <hyperlink ref="B201" location="'Calc'!D429" display="4042. Chargeable export capacity adjusted for part-year (kVA) (total)"/>
    <hyperlink ref="B202" location="'Calc'!E429" display="4042. Non-exempt 2005-2010 export capacity (kVA) adjusted for part-year (total)"/>
    <hyperlink ref="B203" location="'Calc'!F429" display="4042. Non-exempt post-2010 export capacity (kVA) adjusted for part-year (total)"/>
    <hyperlink ref="B204" location="'Calc'!G429" display="4042. Export capacity charge p/kVA/day"/>
    <hyperlink ref="B205" location="'Calc'!H429" display="4042. Revenue from demand charge 1 (£/year)"/>
    <hyperlink ref="B206" location="'Calc'!I429" display="4042. Total marginal effect of indirect cost adder"/>
    <hyperlink ref="B207" location="'Calc'!J429" display="4042. Indirect costs application rate"/>
    <hyperlink ref="B208" location="'Calc'!K429" display="4042. Total marginal revenue effect of demand adder"/>
    <hyperlink ref="B209" location="'Calc'!L429" display="4042. Total non sole use notional assets subject to matching (£)"/>
    <hyperlink ref="B210" location="'Calc'!B459" display="4044. Demand fixed charge p/day"/>
    <hyperlink ref="B211" location="'Calc'!C459" display="4044. Generation fixed charge p/day (scaled for part year)"/>
    <hyperlink ref="B212" location="'Calc'!D459" display="4044. Export fixed charge (unrounded) p/day"/>
    <hyperlink ref="B213" location="'Calc'!E459" display="4044. Export fixed charge p/day"/>
    <hyperlink ref="B214" location="'Calc'!F459" display="4044. Generation credit (unrounded) p/kVA/day"/>
    <hyperlink ref="B215" location="'Calc'!G459" display="4044. Export capacity charge (unrounded) p/kVA/day"/>
    <hyperlink ref="B216" location="'Calc'!H459" display="4044. Export capacity charge (p/kVA/day)"/>
    <hyperlink ref="B217" location="'Calc'!I459" display="4044. Net export capacity charge (or credit) (unrounded) (p/kVA/day)"/>
    <hyperlink ref="B218" location="'Calc'!J459" display="4044. Export capacity rate (p/kVA/day)"/>
    <hyperlink ref="B219" location="'Calc'!K459" display="4044. Capacity charge p/kVA/day (exit only)"/>
    <hyperlink ref="B220" location="'Calc'!L459" display="4044. Import capacity charge before scaling (p/kVA/day)"/>
    <hyperlink ref="B221" location="'Calc'!M459" display="4044. Capacity charge after applying indirect cost charge p/kVA/day"/>
    <hyperlink ref="B222" location="'Calc'!B504" display="4046. Net forecast EDCM generation revenue (£/year)"/>
    <hyperlink ref="B223" location="'Calc'!C504" display="4046. Demand revenue target pot (£/year)"/>
    <hyperlink ref="B224" location="'Calc'!D504" display="4046. Additional amount to be recovered (£/year)"/>
    <hyperlink ref="B225" location="'Calc'!E504" display="4046. Amount to be recovered from adders ex costs (£/year)"/>
    <hyperlink ref="B226" location="'Calc'!F504" display="4046. Fixed adder ex indirects application rate"/>
    <hyperlink ref="B227" location="'Calc'!G504" display="4046. Residual residual (£/year)"/>
    <hyperlink ref="B228" location="'Calc'!H504" display="4046. Annual charge on assets"/>
    <hyperlink ref="B229" location="'Calc'!B532" display="4048. Capacity charge after applying fixed adder ex indirects p/kVA/day"/>
    <hyperlink ref="B230" location="'Calc'!C532" display="4048. Demand scaling p/kVA/day"/>
    <hyperlink ref="B231" location="'Calc'!D532" display="4048. Total import capacity charge p/kVA/day"/>
    <hyperlink ref="B232" location="'Calc'!E532" display="4048. Super red rate p/kWh"/>
    <hyperlink ref="B233" location="'Calc'!F532" display="4048. Import capacity charge p/kVA/day"/>
    <hyperlink ref="B234" location="'Calc'!G532" display="4048. Exceeded import capacity charge (p/kVA/day)"/>
    <hyperlink ref="B235" location="'Results'!B17" display="4501. Name (in Tariff data) (copy) (in EDCM charge)"/>
    <hyperlink ref="B236" location="'Results'!C17" display="4501. Import super-red unit rate (p/kWh) (in EDCM charge)"/>
    <hyperlink ref="B237" location="'Results'!D17" display="4501. Import fixed charge (p/day) (in EDCM charge)"/>
    <hyperlink ref="B238" location="'Results'!E17" display="4501. Import capacity rate (p/kVA/day) (in EDCM charge)"/>
    <hyperlink ref="B239" location="'Results'!F17" display="4501. Import exceeded capacity rate (p/kVA/day) (in EDCM charge)"/>
    <hyperlink ref="B240" location="'Results'!G17" display="4501. Export super-red unit rate (p/kWh) (copy) (in EDCM charge)"/>
    <hyperlink ref="B241" location="'Results'!H17" display="4501. Export fixed charge p/day (copy) (in EDCM charge)"/>
    <hyperlink ref="B242" location="'Results'!I17" display="4501. Export capacity rate (p/kVA/day) (copy) (in EDCM charge)"/>
    <hyperlink ref="B243" location="'Results'!J17" display="4501. Export exceeded capacity rate (p/kVA/day) (in EDCM charge)"/>
    <hyperlink ref="B244" location="'Results'!K17" display="4501. Tariff checksum 5 (in EDCM charge)"/>
    <hyperlink ref="B245" location="'Results'!L17" display="4501. Model checksum 7 (in EDCM charge)"/>
    <hyperlink ref="B246" location="'HSummary'!B64" display="4601. Name (in Tariff data) (copy) (in EDCM charge) (copy) (in Horizontal information)"/>
    <hyperlink ref="B247" location="'HSummary'!C64" display="4601. Import super-red unit rate (p/kWh) (in EDCM charge) (copy) (in Horizontal information)"/>
    <hyperlink ref="B248" location="'HSummary'!D64" display="4601. Import fixed charge (p/day) (in EDCM charge) (copy) (in Horizontal information)"/>
    <hyperlink ref="B249" location="'HSummary'!E64" display="4601. Import capacity rate (p/kVA/day) (in EDCM charge) (copy) (in Horizontal information)"/>
    <hyperlink ref="B250" location="'HSummary'!F64" display="4601. Import exceeded capacity rate (p/kVA/day) (in EDCM charge) (copy) (in Horizontal information)"/>
    <hyperlink ref="B251" location="'HSummary'!G64" display="4601. Export super-red unit rate (p/kWh) (copy) (in EDCM charge) (copy) (in Horizontal information)"/>
    <hyperlink ref="B252" location="'HSummary'!H64" display="4601. Export fixed charge p/day (copy) (in EDCM charge) (copy) (in Horizontal information)"/>
    <hyperlink ref="B253" location="'HSummary'!I64" display="4601. Export capacity rate (p/kVA/day) (copy) (in EDCM charge) (copy) (in Horizontal information)"/>
    <hyperlink ref="B254" location="'HSummary'!J64" display="4601. Export exceeded capacity rate (p/kVA/day) (in EDCM charge) (copy) (in Horizontal information)"/>
    <hyperlink ref="B255" location="'HSummary'!K64" display="4601. Capacity charge for demand (£/year) (in Horizontal information)"/>
    <hyperlink ref="B256" location="'HSummary'!L64" display="4601. Super red charge for demand (£/year) (in Horizontal information)"/>
    <hyperlink ref="B257" location="'HSummary'!M64" display="4601. Fixed charge for demand (£/year) (in Horizontal information)"/>
    <hyperlink ref="B258" location="'HSummary'!N64" display="4601. Net capacity charge (or credit) for generation (£/year) (in Horizontal information)"/>
    <hyperlink ref="B259" location="'HSummary'!O64" display="4601. Fixed charge for generation (£/year) (in Horizontal information)"/>
    <hyperlink ref="B260" location="'HSummary'!P64" display="4601. Super red credit (£/year) (in Horizontal information)"/>
    <hyperlink ref="B261" location="'HSummary'!Q64" display="4601. Total for demand (£/year) (in Horizontal information)"/>
    <hyperlink ref="B262" location="'HSummary'!R64" display="4601. Import charge in previous charging year (£/year) (in Tariff data) (copy) (in Horizontal information)"/>
    <hyperlink ref="B263" location="'HSummary'!S64" display="4601. Change (demand) (£/year) (in Horizontal information)"/>
    <hyperlink ref="B264" location="'HSummary'!T64" display="4601. Change (demand) (%) (in Horizontal information)"/>
    <hyperlink ref="B265" location="'HSummary'!U64" display="4601. Total for generation (£/year) (in Horizontal information)"/>
    <hyperlink ref="B266" location="'HSummary'!V64" display="4601. Export charge in previous charging year (£/year) (in Tariff data) (copy) (in Horizontal information)"/>
    <hyperlink ref="B267" location="'HSummary'!W64" display="4601. Change (generation) (£/year) (in Horizontal information)"/>
    <hyperlink ref="B268" location="'HSummary'!X64" display="4601. Change (generation) (%) (in Horizontal information)"/>
    <hyperlink ref="B269" location="'HSummary'!Y64" display="4601. Fixed charge for demand (unrounded) (£/year) (in Horizontal information)"/>
    <hyperlink ref="B270" location="'HSummary'!Z64" display="4601. Transmission exit charge (£/year) (in Horizontal information)"/>
    <hyperlink ref="B271" location="'HSummary'!AA64" display="4601. Direct cost allocation (£/year) (in Horizontal information)"/>
    <hyperlink ref="B272" location="'HSummary'!AB64" display="4601. Indirect cost allocation (£/year) (in Horizontal information)"/>
    <hyperlink ref="B273" location="'HSummary'!AC64" display="4601. Network rates allocation (£/year) (in Horizontal information)"/>
    <hyperlink ref="B274" location="'HSummary'!AD64" display="4601. FCP/LRIC charge (£/year) (in Horizontal information)"/>
    <hyperlink ref="B275" location="'HSummary'!AE64" display="4601. Demand scaling fixed adder (£/year) (in Horizontal information)"/>
    <hyperlink ref="B276" location="'HSummary'!AF64" display="4601. Demand scaling asset based (£/year) (in Horizontal information)"/>
    <hyperlink ref="B277" location="'HSummary'!AG64" display="4601. Check (£/year) (in Horizontal information)"/>
    <hyperlink ref="B278" location="'HSummary'!B78" display="4602. This column is not used (in Total for all tariffs (£/year))"/>
    <hyperlink ref="B279" location="'HSummary'!C78" display="4602. Total for demand across all tariffs (£/year) (in Total for all tariffs (£/year))"/>
    <hyperlink ref="B280" location="'HSummary'!D78" display="4602. Total for generation across all tariffs (£/year) (in Total for all tariffs (£/year))"/>
    <hyperlink ref="B281" location="'HSummary'!E78" display="4602. Total for all tariffs (£/year) (in Total for all tariffs (£/year))"/>
    <hyperlink ref="B282" location="'Aggregates'!B12" display="4791. Summary aggregate data part 1"/>
    <hyperlink ref="B283" location="'Aggregates'!B24" display="4792. Summary aggregate data part 2"/>
    <hyperlink ref="B284" location="'Aggregates'!B37" display="4793. Summary aggregate data part 3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6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4" x14ac:dyDescent="0"/>
  <cols>
    <col min="1" max="1" width="50.6640625" customWidth="1"/>
    <col min="2" max="251" width="20.6640625" customWidth="1"/>
  </cols>
  <sheetData>
    <row r="1" spans="1:13" ht="21" customHeight="1">
      <c r="A1" s="1" t="str">
        <f>"General input data"&amp;" for "&amp;'11'!B7&amp;" in "&amp;'11'!C7&amp;" ("&amp;'11'!D7&amp;")"</f>
        <v>General input data for Illustrative DNO in 2013/2014 (DCP 183 worked example)</v>
      </c>
    </row>
    <row r="4" spans="1:13" ht="21" customHeight="1">
      <c r="A4" s="1" t="s">
        <v>0</v>
      </c>
    </row>
    <row r="6" spans="1:13">
      <c r="B6" s="3" t="s">
        <v>1</v>
      </c>
      <c r="C6" s="3" t="s">
        <v>2</v>
      </c>
      <c r="D6" s="3" t="s">
        <v>3</v>
      </c>
    </row>
    <row r="7" spans="1:13">
      <c r="A7" s="11" t="s">
        <v>4</v>
      </c>
      <c r="B7" s="13" t="s">
        <v>5</v>
      </c>
      <c r="C7" s="13" t="s">
        <v>6</v>
      </c>
      <c r="D7" s="13" t="s">
        <v>7</v>
      </c>
      <c r="E7" s="10"/>
    </row>
    <row r="9" spans="1:13" ht="21" customHeight="1">
      <c r="A9" s="1" t="s">
        <v>8</v>
      </c>
    </row>
    <row r="11" spans="1:13">
      <c r="B11" s="3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</row>
    <row r="12" spans="1:13" ht="28">
      <c r="A12" s="11" t="s">
        <v>15</v>
      </c>
      <c r="B12" s="14">
        <v>6.3829787234042507E-2</v>
      </c>
      <c r="C12" s="14">
        <v>0.120212765957447</v>
      </c>
      <c r="D12" s="14">
        <v>0.120212765957447</v>
      </c>
      <c r="E12" s="14">
        <v>0.23111382978723399</v>
      </c>
      <c r="F12" s="14">
        <v>0.23111382978723399</v>
      </c>
      <c r="G12" s="14">
        <v>0.120212765957447</v>
      </c>
      <c r="H12" s="10"/>
    </row>
    <row r="14" spans="1:13" ht="21" customHeight="1">
      <c r="A14" s="1" t="s">
        <v>16</v>
      </c>
    </row>
    <row r="16" spans="1:13" ht="84"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  <c r="K16" s="3" t="s">
        <v>26</v>
      </c>
      <c r="L16" s="3" t="s">
        <v>27</v>
      </c>
      <c r="M16" s="3" t="s">
        <v>28</v>
      </c>
    </row>
    <row r="17" spans="1:14">
      <c r="A17" s="11" t="s">
        <v>29</v>
      </c>
      <c r="B17" s="15">
        <v>365</v>
      </c>
      <c r="C17" s="4">
        <v>0.2</v>
      </c>
      <c r="D17" s="16">
        <v>190</v>
      </c>
      <c r="E17" s="15">
        <v>261254114.42528</v>
      </c>
      <c r="F17" s="15">
        <v>9906203.13528</v>
      </c>
      <c r="G17" s="15">
        <v>19094363.8633954</v>
      </c>
      <c r="H17" s="15">
        <v>63675341.701289102</v>
      </c>
      <c r="I17" s="15">
        <v>15527639</v>
      </c>
      <c r="J17" s="15">
        <v>792.43599606321595</v>
      </c>
      <c r="K17" s="15">
        <v>79406.846993879997</v>
      </c>
      <c r="L17" s="15">
        <v>6570</v>
      </c>
      <c r="M17" s="15">
        <v>38450</v>
      </c>
      <c r="N17" s="10"/>
    </row>
    <row r="19" spans="1:14" ht="21" customHeight="1">
      <c r="A19" s="1" t="s">
        <v>30</v>
      </c>
    </row>
    <row r="21" spans="1:14">
      <c r="B21" s="3" t="s">
        <v>9</v>
      </c>
      <c r="C21" s="3" t="s">
        <v>10</v>
      </c>
      <c r="D21" s="3" t="s">
        <v>11</v>
      </c>
      <c r="E21" s="3" t="s">
        <v>12</v>
      </c>
      <c r="F21" s="3" t="s">
        <v>13</v>
      </c>
      <c r="G21" s="3" t="s">
        <v>14</v>
      </c>
    </row>
    <row r="22" spans="1:14" ht="28">
      <c r="A22" s="11" t="s">
        <v>31</v>
      </c>
      <c r="B22" s="15">
        <v>1742552.0684659299</v>
      </c>
      <c r="C22" s="15">
        <v>1723838.6086760301</v>
      </c>
      <c r="D22" s="15">
        <v>1200742.75500882</v>
      </c>
      <c r="E22" s="15">
        <v>1193120.0089084301</v>
      </c>
      <c r="F22" s="15">
        <v>1183871.01659131</v>
      </c>
      <c r="G22" s="15">
        <v>506127.03336127702</v>
      </c>
      <c r="H22" s="10"/>
    </row>
    <row r="24" spans="1:14" ht="21" customHeight="1">
      <c r="A24" s="1" t="s">
        <v>32</v>
      </c>
    </row>
    <row r="26" spans="1:14">
      <c r="B26" s="3" t="s">
        <v>9</v>
      </c>
      <c r="C26" s="3" t="s">
        <v>10</v>
      </c>
      <c r="D26" s="3" t="s">
        <v>11</v>
      </c>
      <c r="E26" s="3" t="s">
        <v>12</v>
      </c>
      <c r="F26" s="3" t="s">
        <v>13</v>
      </c>
      <c r="G26" s="3" t="s">
        <v>14</v>
      </c>
      <c r="H26" s="3" t="s">
        <v>33</v>
      </c>
      <c r="I26" s="3" t="s">
        <v>34</v>
      </c>
      <c r="J26" s="3" t="s">
        <v>35</v>
      </c>
      <c r="K26" s="3" t="s">
        <v>36</v>
      </c>
      <c r="L26" s="3" t="s">
        <v>37</v>
      </c>
    </row>
    <row r="27" spans="1:14">
      <c r="A27" s="11" t="s">
        <v>38</v>
      </c>
      <c r="B27" s="15"/>
      <c r="C27" s="15">
        <v>452088808.77693301</v>
      </c>
      <c r="D27" s="15">
        <v>41363137.865995899</v>
      </c>
      <c r="E27" s="15">
        <v>148810976.403218</v>
      </c>
      <c r="F27" s="15">
        <v>115253556.91403501</v>
      </c>
      <c r="G27" s="15">
        <v>38089379.161313497</v>
      </c>
      <c r="H27" s="15">
        <v>616099902.62439203</v>
      </c>
      <c r="I27" s="15">
        <v>181319038.71517801</v>
      </c>
      <c r="J27" s="15">
        <v>356106959.28740799</v>
      </c>
      <c r="K27" s="15">
        <v>319407152.21931601</v>
      </c>
      <c r="L27" s="15">
        <v>5828340.9079999998</v>
      </c>
      <c r="M27" s="10"/>
    </row>
    <row r="29" spans="1:14" ht="21" customHeight="1">
      <c r="A29" s="1" t="s">
        <v>39</v>
      </c>
    </row>
    <row r="31" spans="1:14">
      <c r="B31" s="3" t="s">
        <v>14</v>
      </c>
    </row>
    <row r="32" spans="1:14">
      <c r="A32" s="11" t="s">
        <v>40</v>
      </c>
      <c r="B32" s="4" t="s">
        <v>41</v>
      </c>
      <c r="C32" s="10"/>
    </row>
    <row r="34" spans="1:8" ht="21" customHeight="1">
      <c r="A34" s="1" t="s">
        <v>42</v>
      </c>
    </row>
    <row r="36" spans="1:8">
      <c r="B36" s="3" t="s">
        <v>9</v>
      </c>
      <c r="C36" s="3" t="s">
        <v>10</v>
      </c>
      <c r="D36" s="3" t="s">
        <v>11</v>
      </c>
      <c r="E36" s="3" t="s">
        <v>12</v>
      </c>
      <c r="F36" s="3" t="s">
        <v>13</v>
      </c>
      <c r="G36" s="3" t="s">
        <v>14</v>
      </c>
    </row>
    <row r="37" spans="1:8">
      <c r="A37" s="11" t="s">
        <v>43</v>
      </c>
      <c r="B37" s="4" t="s">
        <v>44</v>
      </c>
      <c r="C37" s="4">
        <v>2.246</v>
      </c>
      <c r="D37" s="4">
        <v>1.5580000000000001</v>
      </c>
      <c r="E37" s="4">
        <v>3.29</v>
      </c>
      <c r="F37" s="4">
        <v>2.38</v>
      </c>
      <c r="G37" s="4">
        <v>2.7679999999999998</v>
      </c>
      <c r="H37" s="10"/>
    </row>
    <row r="39" spans="1:8" ht="21" customHeight="1">
      <c r="A39" s="1" t="s">
        <v>45</v>
      </c>
    </row>
    <row r="41" spans="1:8">
      <c r="B41" s="3" t="s">
        <v>9</v>
      </c>
      <c r="C41" s="3" t="s">
        <v>10</v>
      </c>
      <c r="D41" s="3" t="s">
        <v>11</v>
      </c>
      <c r="E41" s="3" t="s">
        <v>12</v>
      </c>
      <c r="F41" s="3" t="s">
        <v>13</v>
      </c>
      <c r="G41" s="3" t="s">
        <v>14</v>
      </c>
    </row>
    <row r="42" spans="1:8">
      <c r="A42" s="11" t="s">
        <v>46</v>
      </c>
      <c r="B42" s="4" t="s">
        <v>44</v>
      </c>
      <c r="C42" s="4">
        <v>0.27300000000000002</v>
      </c>
      <c r="D42" s="4">
        <v>0.67700000000000005</v>
      </c>
      <c r="E42" s="4">
        <v>0.33200000000000002</v>
      </c>
      <c r="F42" s="4">
        <v>0.63100000000000001</v>
      </c>
      <c r="G42" s="4">
        <v>0.69699999999999995</v>
      </c>
      <c r="H42" s="10"/>
    </row>
    <row r="44" spans="1:8" ht="21" customHeight="1">
      <c r="A44" s="1" t="s">
        <v>47</v>
      </c>
    </row>
    <row r="46" spans="1:8">
      <c r="B46" s="3" t="s">
        <v>9</v>
      </c>
      <c r="C46" s="3" t="s">
        <v>10</v>
      </c>
      <c r="D46" s="3" t="s">
        <v>11</v>
      </c>
      <c r="E46" s="3" t="s">
        <v>12</v>
      </c>
      <c r="F46" s="3" t="s">
        <v>13</v>
      </c>
      <c r="G46" s="3" t="s">
        <v>14</v>
      </c>
    </row>
    <row r="47" spans="1:8" ht="28">
      <c r="A47" s="11" t="s">
        <v>48</v>
      </c>
      <c r="B47" s="4">
        <v>1</v>
      </c>
      <c r="C47" s="4">
        <v>1.01</v>
      </c>
      <c r="D47" s="4">
        <v>1.0149999999999999</v>
      </c>
      <c r="E47" s="4">
        <v>1.024</v>
      </c>
      <c r="F47" s="4">
        <v>1.032</v>
      </c>
      <c r="G47" s="4">
        <v>1.032</v>
      </c>
      <c r="H47" s="10"/>
    </row>
    <row r="49" spans="1:6" ht="21" customHeight="1">
      <c r="A49" s="1" t="s">
        <v>49</v>
      </c>
    </row>
    <row r="51" spans="1:6" ht="42">
      <c r="B51" s="3" t="s">
        <v>50</v>
      </c>
    </row>
    <row r="52" spans="1:6">
      <c r="A52" s="11" t="s">
        <v>51</v>
      </c>
      <c r="B52" s="4" t="s">
        <v>52</v>
      </c>
      <c r="C52" s="10"/>
    </row>
    <row r="54" spans="1:6" ht="21" customHeight="1">
      <c r="A54" s="1" t="s">
        <v>53</v>
      </c>
    </row>
    <row r="56" spans="1:6" ht="42">
      <c r="B56" s="3" t="s">
        <v>54</v>
      </c>
      <c r="C56" s="3" t="s">
        <v>55</v>
      </c>
      <c r="D56" s="3" t="s">
        <v>56</v>
      </c>
      <c r="E56" s="3" t="s">
        <v>57</v>
      </c>
    </row>
    <row r="57" spans="1:6">
      <c r="A57" s="11" t="s">
        <v>58</v>
      </c>
      <c r="B57" s="15">
        <v>266192.93660711398</v>
      </c>
      <c r="C57" s="15">
        <v>674540.65491252299</v>
      </c>
      <c r="D57" s="15">
        <v>674540.65491252602</v>
      </c>
      <c r="E57" s="15">
        <v>1067400.8349500101</v>
      </c>
      <c r="F57" s="10"/>
    </row>
    <row r="59" spans="1:6" ht="21" customHeight="1">
      <c r="A59" s="1" t="s">
        <v>59</v>
      </c>
    </row>
    <row r="61" spans="1:6" ht="42">
      <c r="B61" s="3" t="s">
        <v>60</v>
      </c>
      <c r="C61" s="3" t="s">
        <v>61</v>
      </c>
      <c r="D61" s="3" t="s">
        <v>62</v>
      </c>
      <c r="E61" s="3" t="s">
        <v>63</v>
      </c>
    </row>
    <row r="62" spans="1:6">
      <c r="A62" s="11" t="s">
        <v>64</v>
      </c>
      <c r="B62" s="15">
        <v>476950</v>
      </c>
      <c r="C62" s="15">
        <v>170600</v>
      </c>
      <c r="D62" s="15">
        <v>276750</v>
      </c>
      <c r="E62" s="15">
        <v>-153982.458365812</v>
      </c>
      <c r="F62" s="10"/>
    </row>
    <row r="64" spans="1:6" ht="21" customHeight="1">
      <c r="A64" s="1" t="s">
        <v>65</v>
      </c>
    </row>
    <row r="66" spans="1:7" ht="42">
      <c r="B66" s="3" t="s">
        <v>66</v>
      </c>
      <c r="C66" s="3" t="s">
        <v>67</v>
      </c>
      <c r="D66" s="3" t="s">
        <v>68</v>
      </c>
      <c r="E66" s="3" t="s">
        <v>69</v>
      </c>
      <c r="F66" s="3" t="s">
        <v>70</v>
      </c>
    </row>
    <row r="67" spans="1:7">
      <c r="A67" s="11" t="s">
        <v>71</v>
      </c>
      <c r="B67" s="15">
        <v>22339603.554531898</v>
      </c>
      <c r="C67" s="15">
        <v>10691707.2168703</v>
      </c>
      <c r="D67" s="15">
        <v>92215007.236532897</v>
      </c>
      <c r="E67" s="15">
        <v>11205904.6322494</v>
      </c>
      <c r="F67" s="15">
        <v>101305496.08757401</v>
      </c>
      <c r="G67" s="10"/>
    </row>
  </sheetData>
  <sheetProtection sheet="1" objects="1" scenarios="1"/>
  <dataValidations count="10">
    <dataValidation type="decimal" allowBlank="1" showInputMessage="1" showErrorMessage="1" sqref="B17">
      <formula1>365</formula1>
      <formula2>366</formula2>
    </dataValidation>
    <dataValidation type="decimal" operator="greaterThanOrEqual" allowBlank="1" showInputMessage="1" showErrorMessage="1" sqref="E17">
      <formula1>0</formula1>
    </dataValidation>
    <dataValidation type="decimal" operator="greaterThanOrEqual" allowBlank="1" showInputMessage="1" showErrorMessage="1" sqref="F17">
      <formula1>0</formula1>
    </dataValidation>
    <dataValidation type="decimal" operator="greaterThanOrEqual" allowBlank="1" showInputMessage="1" showErrorMessage="1" sqref="G17">
      <formula1>0</formula1>
    </dataValidation>
    <dataValidation type="decimal" operator="greaterThanOrEqual" allowBlank="1" showInputMessage="1" showErrorMessage="1" sqref="H17">
      <formula1>0</formula1>
    </dataValidation>
    <dataValidation type="decimal" operator="greaterThanOrEqual" allowBlank="1" showInputMessage="1" showErrorMessage="1" sqref="I17">
      <formula1>0</formula1>
    </dataValidation>
    <dataValidation type="decimal" operator="greaterThanOrEqual" allowBlank="1" showInputMessage="1" showErrorMessage="1" sqref="B22:G22">
      <formula1>0</formula1>
    </dataValidation>
    <dataValidation type="decimal" operator="greaterThanOrEqual" allowBlank="1" showInputMessage="1" showErrorMessage="1" sqref="B27:L27">
      <formula1>0</formula1>
    </dataValidation>
    <dataValidation type="decimal" operator="greaterThanOrEqual" allowBlank="1" showInputMessage="1" showErrorMessage="1" sqref="B47:G47">
      <formula1>0</formula1>
    </dataValidation>
    <dataValidation type="list" allowBlank="1" showInputMessage="1" showErrorMessage="1" sqref="B52">
      <formula1>"TRUE,FALSE"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7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8.83203125" defaultRowHeight="14" x14ac:dyDescent="0"/>
  <cols>
    <col min="1" max="1" width="20.6640625" customWidth="1"/>
    <col min="2" max="2" width="35.6640625" customWidth="1"/>
    <col min="3" max="3" width="20.6640625" customWidth="1"/>
    <col min="4" max="4" width="35.6640625" customWidth="1"/>
    <col min="5" max="251" width="20.6640625" customWidth="1"/>
  </cols>
  <sheetData>
    <row r="1" spans="1:13" ht="21" customHeight="1">
      <c r="A1" s="1" t="str">
        <f>"Power flow input data"&amp;" for "&amp;'11'!B7&amp;" in "&amp;'11'!C7&amp;" ("&amp;'11'!D7&amp;")"</f>
        <v>Power flow input data for Illustrative DNO in 2013/2014 (DCP 183 worked example)</v>
      </c>
    </row>
    <row r="3" spans="1:13" ht="21" customHeight="1">
      <c r="A3" s="1" t="s">
        <v>72</v>
      </c>
    </row>
    <row r="5" spans="1:13" ht="28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78</v>
      </c>
      <c r="I5" s="3" t="s">
        <v>79</v>
      </c>
      <c r="J5" s="3" t="s">
        <v>80</v>
      </c>
      <c r="K5" s="3" t="s">
        <v>78</v>
      </c>
      <c r="L5" s="3" t="s">
        <v>78</v>
      </c>
    </row>
    <row r="6" spans="1:13">
      <c r="A6" s="17">
        <v>1</v>
      </c>
      <c r="B6" s="13" t="s">
        <v>78</v>
      </c>
      <c r="C6" s="13" t="s">
        <v>81</v>
      </c>
      <c r="D6" s="13" t="s">
        <v>81</v>
      </c>
      <c r="E6" s="4" t="s">
        <v>81</v>
      </c>
      <c r="F6" s="4" t="s">
        <v>81</v>
      </c>
      <c r="G6" s="8">
        <v>0</v>
      </c>
      <c r="H6" s="8">
        <v>0</v>
      </c>
      <c r="I6" s="15" t="s">
        <v>81</v>
      </c>
      <c r="J6" s="15" t="s">
        <v>81</v>
      </c>
      <c r="K6" s="8">
        <v>0</v>
      </c>
      <c r="L6" s="8">
        <v>0</v>
      </c>
      <c r="M6" s="10"/>
    </row>
    <row r="7" spans="1:13">
      <c r="A7" s="17">
        <v>2</v>
      </c>
      <c r="B7" s="13" t="s">
        <v>78</v>
      </c>
      <c r="C7" s="13" t="s">
        <v>81</v>
      </c>
      <c r="D7" s="13" t="s">
        <v>81</v>
      </c>
      <c r="E7" s="4" t="s">
        <v>81</v>
      </c>
      <c r="F7" s="4" t="s">
        <v>81</v>
      </c>
      <c r="G7" s="8">
        <v>0</v>
      </c>
      <c r="H7" s="8">
        <v>0</v>
      </c>
      <c r="I7" s="15" t="s">
        <v>81</v>
      </c>
      <c r="J7" s="15" t="s">
        <v>81</v>
      </c>
      <c r="K7" s="8">
        <v>0</v>
      </c>
      <c r="L7" s="8">
        <v>0</v>
      </c>
      <c r="M7" s="10"/>
    </row>
    <row r="8" spans="1:13">
      <c r="A8" s="17">
        <v>3</v>
      </c>
      <c r="B8" s="13" t="s">
        <v>78</v>
      </c>
      <c r="C8" s="13" t="s">
        <v>81</v>
      </c>
      <c r="D8" s="13" t="s">
        <v>81</v>
      </c>
      <c r="E8" s="4" t="s">
        <v>81</v>
      </c>
      <c r="F8" s="4" t="s">
        <v>81</v>
      </c>
      <c r="G8" s="8">
        <v>0</v>
      </c>
      <c r="H8" s="8">
        <v>0</v>
      </c>
      <c r="I8" s="15" t="s">
        <v>81</v>
      </c>
      <c r="J8" s="15" t="s">
        <v>81</v>
      </c>
      <c r="K8" s="8">
        <v>0</v>
      </c>
      <c r="L8" s="8">
        <v>0</v>
      </c>
      <c r="M8" s="10"/>
    </row>
    <row r="9" spans="1:13">
      <c r="A9" s="17">
        <v>4</v>
      </c>
      <c r="B9" s="13" t="s">
        <v>78</v>
      </c>
      <c r="C9" s="13" t="s">
        <v>81</v>
      </c>
      <c r="D9" s="13" t="s">
        <v>81</v>
      </c>
      <c r="E9" s="4" t="s">
        <v>81</v>
      </c>
      <c r="F9" s="4" t="s">
        <v>81</v>
      </c>
      <c r="G9" s="8">
        <v>0</v>
      </c>
      <c r="H9" s="8">
        <v>0</v>
      </c>
      <c r="I9" s="15" t="s">
        <v>81</v>
      </c>
      <c r="J9" s="15" t="s">
        <v>81</v>
      </c>
      <c r="K9" s="8">
        <v>0</v>
      </c>
      <c r="L9" s="8">
        <v>0</v>
      </c>
      <c r="M9" s="10"/>
    </row>
    <row r="10" spans="1:13">
      <c r="A10" s="17">
        <v>5</v>
      </c>
      <c r="B10" s="13" t="s">
        <v>78</v>
      </c>
      <c r="C10" s="13" t="s">
        <v>81</v>
      </c>
      <c r="D10" s="13" t="s">
        <v>81</v>
      </c>
      <c r="E10" s="4" t="s">
        <v>81</v>
      </c>
      <c r="F10" s="4" t="s">
        <v>81</v>
      </c>
      <c r="G10" s="8">
        <v>0</v>
      </c>
      <c r="H10" s="8">
        <v>0</v>
      </c>
      <c r="I10" s="15" t="s">
        <v>81</v>
      </c>
      <c r="J10" s="15" t="s">
        <v>81</v>
      </c>
      <c r="K10" s="8">
        <v>0</v>
      </c>
      <c r="L10" s="8">
        <v>0</v>
      </c>
      <c r="M10" s="10"/>
    </row>
    <row r="11" spans="1:13">
      <c r="A11" s="17">
        <v>6</v>
      </c>
      <c r="B11" s="13" t="s">
        <v>78</v>
      </c>
      <c r="C11" s="13" t="s">
        <v>81</v>
      </c>
      <c r="D11" s="13" t="s">
        <v>81</v>
      </c>
      <c r="E11" s="4" t="s">
        <v>81</v>
      </c>
      <c r="F11" s="4" t="s">
        <v>81</v>
      </c>
      <c r="G11" s="8">
        <v>0</v>
      </c>
      <c r="H11" s="8">
        <v>0</v>
      </c>
      <c r="I11" s="15" t="s">
        <v>81</v>
      </c>
      <c r="J11" s="15" t="s">
        <v>81</v>
      </c>
      <c r="K11" s="8">
        <v>0</v>
      </c>
      <c r="L11" s="8">
        <v>0</v>
      </c>
      <c r="M11" s="10"/>
    </row>
    <row r="12" spans="1:13">
      <c r="A12" s="17">
        <v>7</v>
      </c>
      <c r="B12" s="13" t="s">
        <v>78</v>
      </c>
      <c r="C12" s="13" t="s">
        <v>81</v>
      </c>
      <c r="D12" s="13" t="s">
        <v>81</v>
      </c>
      <c r="E12" s="4" t="s">
        <v>81</v>
      </c>
      <c r="F12" s="4" t="s">
        <v>81</v>
      </c>
      <c r="G12" s="8">
        <v>0</v>
      </c>
      <c r="H12" s="8">
        <v>0</v>
      </c>
      <c r="I12" s="15" t="s">
        <v>81</v>
      </c>
      <c r="J12" s="15" t="s">
        <v>81</v>
      </c>
      <c r="K12" s="8">
        <v>0</v>
      </c>
      <c r="L12" s="8">
        <v>0</v>
      </c>
      <c r="M12" s="10"/>
    </row>
    <row r="13" spans="1:13">
      <c r="A13" s="17">
        <v>8</v>
      </c>
      <c r="B13" s="13" t="s">
        <v>78</v>
      </c>
      <c r="C13" s="13" t="s">
        <v>81</v>
      </c>
      <c r="D13" s="13" t="s">
        <v>81</v>
      </c>
      <c r="E13" s="4" t="s">
        <v>81</v>
      </c>
      <c r="F13" s="4" t="s">
        <v>81</v>
      </c>
      <c r="G13" s="8">
        <v>0</v>
      </c>
      <c r="H13" s="8">
        <v>0</v>
      </c>
      <c r="I13" s="15" t="s">
        <v>81</v>
      </c>
      <c r="J13" s="15" t="s">
        <v>81</v>
      </c>
      <c r="K13" s="8">
        <v>0</v>
      </c>
      <c r="L13" s="8">
        <v>0</v>
      </c>
      <c r="M13" s="10"/>
    </row>
    <row r="14" spans="1:13">
      <c r="A14" s="17">
        <v>9</v>
      </c>
      <c r="B14" s="13" t="s">
        <v>78</v>
      </c>
      <c r="C14" s="13" t="s">
        <v>81</v>
      </c>
      <c r="D14" s="13" t="s">
        <v>81</v>
      </c>
      <c r="E14" s="4" t="s">
        <v>81</v>
      </c>
      <c r="F14" s="4" t="s">
        <v>81</v>
      </c>
      <c r="G14" s="8">
        <v>0</v>
      </c>
      <c r="H14" s="8">
        <v>0</v>
      </c>
      <c r="I14" s="15" t="s">
        <v>81</v>
      </c>
      <c r="J14" s="15" t="s">
        <v>81</v>
      </c>
      <c r="K14" s="8">
        <v>0</v>
      </c>
      <c r="L14" s="8">
        <v>0</v>
      </c>
      <c r="M14" s="10"/>
    </row>
    <row r="15" spans="1:13">
      <c r="A15" s="17">
        <v>10</v>
      </c>
      <c r="B15" s="13" t="s">
        <v>78</v>
      </c>
      <c r="C15" s="13" t="s">
        <v>81</v>
      </c>
      <c r="D15" s="13" t="s">
        <v>81</v>
      </c>
      <c r="E15" s="4" t="s">
        <v>81</v>
      </c>
      <c r="F15" s="4" t="s">
        <v>81</v>
      </c>
      <c r="G15" s="8">
        <v>0</v>
      </c>
      <c r="H15" s="8">
        <v>0</v>
      </c>
      <c r="I15" s="15" t="s">
        <v>81</v>
      </c>
      <c r="J15" s="15" t="s">
        <v>81</v>
      </c>
      <c r="K15" s="8">
        <v>0</v>
      </c>
      <c r="L15" s="8">
        <v>0</v>
      </c>
      <c r="M15" s="10"/>
    </row>
    <row r="16" spans="1:13">
      <c r="A16" s="17">
        <v>11</v>
      </c>
      <c r="B16" s="13" t="s">
        <v>78</v>
      </c>
      <c r="C16" s="13" t="s">
        <v>81</v>
      </c>
      <c r="D16" s="13" t="s">
        <v>81</v>
      </c>
      <c r="E16" s="4" t="s">
        <v>81</v>
      </c>
      <c r="F16" s="4" t="s">
        <v>81</v>
      </c>
      <c r="G16" s="8">
        <v>0</v>
      </c>
      <c r="H16" s="8">
        <v>0</v>
      </c>
      <c r="I16" s="15" t="s">
        <v>81</v>
      </c>
      <c r="J16" s="15" t="s">
        <v>81</v>
      </c>
      <c r="K16" s="8">
        <v>0</v>
      </c>
      <c r="L16" s="8">
        <v>0</v>
      </c>
      <c r="M16" s="10"/>
    </row>
    <row r="17" spans="1:13">
      <c r="A17" s="17">
        <v>12</v>
      </c>
      <c r="B17" s="13" t="s">
        <v>78</v>
      </c>
      <c r="C17" s="13" t="s">
        <v>81</v>
      </c>
      <c r="D17" s="13" t="s">
        <v>81</v>
      </c>
      <c r="E17" s="4" t="s">
        <v>81</v>
      </c>
      <c r="F17" s="4" t="s">
        <v>81</v>
      </c>
      <c r="G17" s="8">
        <v>0</v>
      </c>
      <c r="H17" s="8">
        <v>0</v>
      </c>
      <c r="I17" s="15" t="s">
        <v>81</v>
      </c>
      <c r="J17" s="15" t="s">
        <v>81</v>
      </c>
      <c r="K17" s="8">
        <v>0</v>
      </c>
      <c r="L17" s="8">
        <v>0</v>
      </c>
      <c r="M17" s="10"/>
    </row>
  </sheetData>
  <sheetProtection sheet="1" objects="1" scenarios="1"/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9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" sqref="B6"/>
    </sheetView>
  </sheetViews>
  <sheetFormatPr baseColWidth="10" defaultColWidth="8.83203125" defaultRowHeight="14" x14ac:dyDescent="0"/>
  <cols>
    <col min="1" max="1" width="16.6640625" customWidth="1"/>
    <col min="2" max="2" width="50.6640625" customWidth="1"/>
    <col min="3" max="8" width="20.6640625" customWidth="1"/>
    <col min="9" max="9" width="50.6640625" customWidth="1"/>
    <col min="10" max="251" width="20.6640625" customWidth="1"/>
  </cols>
  <sheetData>
    <row r="1" spans="1:29" ht="21" customHeight="1">
      <c r="A1" s="1" t="str">
        <f>"Tariff input data"&amp;" for "&amp;'11'!B7&amp;" in "&amp;'11'!C7&amp;" ("&amp;'11'!D7&amp;")"</f>
        <v>Tariff input data for Illustrative DNO in 2013/2014 (DCP 183 worked example)</v>
      </c>
    </row>
    <row r="3" spans="1:29" ht="21" customHeight="1">
      <c r="A3" s="1" t="s">
        <v>82</v>
      </c>
    </row>
    <row r="5" spans="1:29">
      <c r="K5" s="18" t="s">
        <v>92</v>
      </c>
      <c r="L5" s="18"/>
      <c r="M5" s="18"/>
      <c r="N5" s="18"/>
      <c r="O5" s="18"/>
    </row>
    <row r="6" spans="1:29" ht="42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 t="s">
        <v>90</v>
      </c>
      <c r="J6" s="3" t="s">
        <v>91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93</v>
      </c>
      <c r="Q6" s="3" t="s">
        <v>94</v>
      </c>
      <c r="R6" s="3" t="s">
        <v>95</v>
      </c>
      <c r="S6" s="3" t="s">
        <v>96</v>
      </c>
      <c r="T6" s="3" t="s">
        <v>97</v>
      </c>
      <c r="U6" s="3" t="s">
        <v>98</v>
      </c>
      <c r="V6" s="3" t="s">
        <v>99</v>
      </c>
      <c r="W6" s="3" t="s">
        <v>100</v>
      </c>
      <c r="X6" s="3" t="s">
        <v>101</v>
      </c>
      <c r="Y6" s="3" t="s">
        <v>102</v>
      </c>
      <c r="Z6" s="3" t="s">
        <v>103</v>
      </c>
      <c r="AA6" s="3" t="s">
        <v>104</v>
      </c>
      <c r="AB6" s="3" t="s">
        <v>105</v>
      </c>
    </row>
    <row r="7" spans="1:29">
      <c r="A7" s="19">
        <v>1</v>
      </c>
      <c r="B7" s="13" t="s">
        <v>106</v>
      </c>
      <c r="C7" s="15">
        <v>5000</v>
      </c>
      <c r="D7" s="15" t="s">
        <v>109</v>
      </c>
      <c r="E7" s="15" t="s">
        <v>109</v>
      </c>
      <c r="F7" s="15" t="s">
        <v>109</v>
      </c>
      <c r="G7" s="15" t="s">
        <v>109</v>
      </c>
      <c r="H7" s="15">
        <v>9790</v>
      </c>
      <c r="I7" s="13"/>
      <c r="J7" s="20">
        <v>1111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0.9</v>
      </c>
      <c r="Q7" s="4">
        <v>0.2</v>
      </c>
      <c r="R7" s="4">
        <v>1</v>
      </c>
      <c r="S7" s="15"/>
      <c r="T7" s="15"/>
      <c r="U7" s="15"/>
      <c r="V7" s="4"/>
      <c r="W7" s="15"/>
      <c r="X7" s="16"/>
      <c r="Y7" s="15">
        <v>0</v>
      </c>
      <c r="Z7" s="15">
        <v>0</v>
      </c>
      <c r="AA7" s="13" t="s">
        <v>110</v>
      </c>
      <c r="AB7" s="13" t="s">
        <v>110</v>
      </c>
      <c r="AC7" s="10"/>
    </row>
    <row r="8" spans="1:29">
      <c r="A8" s="19">
        <v>2</v>
      </c>
      <c r="B8" s="13" t="s">
        <v>107</v>
      </c>
      <c r="C8" s="15">
        <v>5000</v>
      </c>
      <c r="D8" s="15" t="s">
        <v>109</v>
      </c>
      <c r="E8" s="15" t="s">
        <v>109</v>
      </c>
      <c r="F8" s="15" t="s">
        <v>109</v>
      </c>
      <c r="G8" s="15" t="s">
        <v>109</v>
      </c>
      <c r="H8" s="15">
        <v>9790</v>
      </c>
      <c r="I8" s="13"/>
      <c r="J8" s="20">
        <v>1111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0.01</v>
      </c>
      <c r="Q8" s="4">
        <v>0.2</v>
      </c>
      <c r="R8" s="4">
        <v>1</v>
      </c>
      <c r="S8" s="15"/>
      <c r="T8" s="15"/>
      <c r="U8" s="15"/>
      <c r="V8" s="4"/>
      <c r="W8" s="15"/>
      <c r="X8" s="16"/>
      <c r="Y8" s="15">
        <v>0</v>
      </c>
      <c r="Z8" s="15">
        <v>0</v>
      </c>
      <c r="AA8" s="13" t="s">
        <v>110</v>
      </c>
      <c r="AB8" s="13" t="s">
        <v>110</v>
      </c>
      <c r="AC8" s="10"/>
    </row>
    <row r="9" spans="1:29">
      <c r="A9" s="19">
        <v>3</v>
      </c>
      <c r="B9" s="13" t="s">
        <v>108</v>
      </c>
      <c r="C9" s="15">
        <v>5000</v>
      </c>
      <c r="D9" s="15" t="s">
        <v>109</v>
      </c>
      <c r="E9" s="15" t="s">
        <v>109</v>
      </c>
      <c r="F9" s="15" t="s">
        <v>109</v>
      </c>
      <c r="G9" s="15">
        <v>10000</v>
      </c>
      <c r="H9" s="15">
        <v>13998</v>
      </c>
      <c r="I9" s="13"/>
      <c r="J9" s="20">
        <v>1111</v>
      </c>
      <c r="K9" s="4">
        <v>0.27300000000000002</v>
      </c>
      <c r="L9" s="4">
        <v>0.67700000000000005</v>
      </c>
      <c r="M9" s="4">
        <v>0.33200000000000002</v>
      </c>
      <c r="N9" s="4">
        <v>0.63100000000000001</v>
      </c>
      <c r="O9" s="4">
        <v>0.69699999999999995</v>
      </c>
      <c r="P9" s="4">
        <v>0.1</v>
      </c>
      <c r="Q9" s="4">
        <v>0</v>
      </c>
      <c r="R9" s="4">
        <v>1</v>
      </c>
      <c r="S9" s="15"/>
      <c r="T9" s="15"/>
      <c r="U9" s="15"/>
      <c r="V9" s="4"/>
      <c r="W9" s="15"/>
      <c r="X9" s="16"/>
      <c r="Y9" s="15">
        <v>0</v>
      </c>
      <c r="Z9" s="15">
        <v>0</v>
      </c>
      <c r="AA9" s="13" t="s">
        <v>110</v>
      </c>
      <c r="AB9" s="13" t="s">
        <v>110</v>
      </c>
      <c r="AC9" s="10"/>
    </row>
  </sheetData>
  <sheetProtection sheet="1" objects="1" scenarios="1"/>
  <dataValidations count="3">
    <dataValidation type="list" allowBlank="1" showInputMessage="1" showErrorMessage="1" sqref="J7:J9">
      <formula1>"0000,0001,0002,0010,0011,0100,0101,0110,0111,1000,1001,1100,1101,1110,1111"</formula1>
    </dataValidation>
    <dataValidation type="decimal" operator="greaterThanOrEqual" allowBlank="1" showInputMessage="1" showErrorMessage="1" sqref="K7:O9">
      <formula1>0</formula1>
    </dataValidation>
    <dataValidation type="decimal" allowBlank="1" showInputMessage="1" showErrorMessage="1" sqref="R7:R9">
      <formula1>0</formula1>
      <formula2>1</formula2>
    </dataValidation>
  </dataValidation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53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4" x14ac:dyDescent="0"/>
  <cols>
    <col min="1" max="251" width="20.6640625" customWidth="1"/>
  </cols>
  <sheetData>
    <row r="1" spans="1:13" ht="21" customHeight="1">
      <c r="A1" s="1" t="str">
        <f>"Calculations"&amp;" for "&amp;'11'!B7&amp;" in "&amp;'11'!C7&amp;" ("&amp;'11'!D7&amp;")"</f>
        <v>Calculations for Illustrative DNO in 2013/2014 (DCP 183 worked example)</v>
      </c>
    </row>
    <row r="3" spans="1:13" ht="21" customHeight="1">
      <c r="A3" s="1" t="s">
        <v>111</v>
      </c>
    </row>
    <row r="4" spans="1:13">
      <c r="A4" s="2" t="s">
        <v>112</v>
      </c>
    </row>
    <row r="6" spans="1:13">
      <c r="B6" s="3" t="s">
        <v>9</v>
      </c>
      <c r="C6" s="3" t="s">
        <v>10</v>
      </c>
      <c r="D6" s="3" t="s">
        <v>11</v>
      </c>
      <c r="E6" s="3" t="s">
        <v>12</v>
      </c>
      <c r="F6" s="3" t="s">
        <v>13</v>
      </c>
      <c r="G6" s="3" t="s">
        <v>14</v>
      </c>
      <c r="H6" s="3" t="s">
        <v>33</v>
      </c>
      <c r="I6" s="3" t="s">
        <v>34</v>
      </c>
      <c r="J6" s="3" t="s">
        <v>35</v>
      </c>
      <c r="K6" s="3" t="s">
        <v>36</v>
      </c>
      <c r="L6" s="3" t="s">
        <v>37</v>
      </c>
    </row>
    <row r="7" spans="1:13">
      <c r="A7" s="11" t="s">
        <v>113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10"/>
    </row>
    <row r="9" spans="1:13" ht="21" customHeight="1">
      <c r="A9" s="1" t="s">
        <v>114</v>
      </c>
    </row>
    <row r="10" spans="1:13">
      <c r="A10" s="2" t="s">
        <v>112</v>
      </c>
    </row>
    <row r="12" spans="1:13">
      <c r="B12" s="3" t="s">
        <v>9</v>
      </c>
      <c r="C12" s="3" t="s">
        <v>10</v>
      </c>
      <c r="D12" s="3" t="s">
        <v>11</v>
      </c>
      <c r="E12" s="3" t="s">
        <v>12</v>
      </c>
      <c r="F12" s="3" t="s">
        <v>13</v>
      </c>
      <c r="G12" s="3" t="s">
        <v>14</v>
      </c>
      <c r="H12" s="3" t="s">
        <v>33</v>
      </c>
      <c r="I12" s="3" t="s">
        <v>34</v>
      </c>
      <c r="J12" s="3" t="s">
        <v>35</v>
      </c>
      <c r="K12" s="3" t="s">
        <v>36</v>
      </c>
      <c r="L12" s="3" t="s">
        <v>37</v>
      </c>
    </row>
    <row r="13" spans="1:13" ht="28">
      <c r="A13" s="11" t="s">
        <v>115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1</v>
      </c>
      <c r="I13" s="5">
        <v>1</v>
      </c>
      <c r="J13" s="5">
        <v>1</v>
      </c>
      <c r="K13" s="5">
        <v>0</v>
      </c>
      <c r="L13" s="5">
        <v>0</v>
      </c>
      <c r="M13" s="10"/>
    </row>
    <row r="15" spans="1:13" ht="21" customHeight="1">
      <c r="A15" s="1" t="s">
        <v>116</v>
      </c>
    </row>
    <row r="16" spans="1:13">
      <c r="A16" s="2" t="s">
        <v>112</v>
      </c>
    </row>
    <row r="18" spans="1:13">
      <c r="B18" s="3" t="s">
        <v>9</v>
      </c>
      <c r="C18" s="3" t="s">
        <v>10</v>
      </c>
      <c r="D18" s="3" t="s">
        <v>11</v>
      </c>
      <c r="E18" s="3" t="s">
        <v>12</v>
      </c>
      <c r="F18" s="3" t="s">
        <v>13</v>
      </c>
      <c r="G18" s="3" t="s">
        <v>14</v>
      </c>
      <c r="H18" s="3" t="s">
        <v>33</v>
      </c>
      <c r="I18" s="3" t="s">
        <v>34</v>
      </c>
      <c r="J18" s="3" t="s">
        <v>35</v>
      </c>
      <c r="K18" s="3" t="s">
        <v>36</v>
      </c>
      <c r="L18" s="3" t="s">
        <v>37</v>
      </c>
    </row>
    <row r="19" spans="1:13" ht="28">
      <c r="A19" s="11" t="s">
        <v>117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1</v>
      </c>
      <c r="M19" s="10"/>
    </row>
    <row r="21" spans="1:13" ht="21" customHeight="1">
      <c r="A21" s="1" t="s">
        <v>118</v>
      </c>
    </row>
    <row r="22" spans="1:13">
      <c r="A22" s="2" t="s">
        <v>112</v>
      </c>
    </row>
    <row r="23" spans="1:13">
      <c r="A23" s="12" t="s">
        <v>119</v>
      </c>
    </row>
    <row r="24" spans="1:13">
      <c r="A24" s="12" t="s">
        <v>120</v>
      </c>
    </row>
    <row r="25" spans="1:13">
      <c r="A25" s="12" t="s">
        <v>121</v>
      </c>
    </row>
    <row r="26" spans="1:13">
      <c r="A26" s="12" t="s">
        <v>122</v>
      </c>
    </row>
    <row r="27" spans="1:13">
      <c r="A27" s="12" t="s">
        <v>123</v>
      </c>
    </row>
    <row r="28" spans="1:13">
      <c r="A28" s="12" t="s">
        <v>124</v>
      </c>
    </row>
    <row r="29" spans="1:13">
      <c r="A29" s="21" t="s">
        <v>125</v>
      </c>
      <c r="B29" s="21" t="s">
        <v>126</v>
      </c>
      <c r="C29" s="21" t="s">
        <v>127</v>
      </c>
      <c r="D29" s="21" t="s">
        <v>127</v>
      </c>
      <c r="E29" s="21" t="s">
        <v>127</v>
      </c>
      <c r="F29" s="21" t="s">
        <v>128</v>
      </c>
    </row>
    <row r="30" spans="1:13" ht="42">
      <c r="A30" s="21" t="s">
        <v>129</v>
      </c>
      <c r="B30" s="21" t="s">
        <v>130</v>
      </c>
      <c r="C30" s="21" t="s">
        <v>131</v>
      </c>
      <c r="D30" s="21" t="s">
        <v>132</v>
      </c>
      <c r="E30" s="21" t="s">
        <v>133</v>
      </c>
      <c r="F30" s="21" t="s">
        <v>134</v>
      </c>
    </row>
    <row r="32" spans="1:13" ht="28">
      <c r="B32" s="3" t="s">
        <v>135</v>
      </c>
      <c r="C32" s="3" t="s">
        <v>136</v>
      </c>
      <c r="D32" s="3" t="s">
        <v>137</v>
      </c>
      <c r="E32" s="3" t="s">
        <v>138</v>
      </c>
      <c r="F32" s="3" t="s">
        <v>139</v>
      </c>
    </row>
    <row r="33" spans="1:14">
      <c r="A33" s="11" t="s">
        <v>140</v>
      </c>
      <c r="B33" s="6" t="b">
        <f>IF(ISERROR('11'!B52),TRUE,IF('11'!B52="FALSE",FALSE,IF('11'!B52=FALSE,FALSE,TRUE)))</f>
        <v>0</v>
      </c>
      <c r="C33" s="22">
        <f>SUMPRODUCT($B7:$L7,'11'!$B$27:$L$27)</f>
        <v>795605859.12149537</v>
      </c>
      <c r="D33" s="22">
        <f>SUMPRODUCT($B13:$L13,'11'!$B$27:$L$27)</f>
        <v>1153525900.6269779</v>
      </c>
      <c r="E33" s="22">
        <f>SUMPRODUCT($B19:$L19,'11'!$B$27:$L$27)</f>
        <v>325235493.127316</v>
      </c>
      <c r="F33" s="23">
        <f>'11'!$B22</f>
        <v>1742552.0684659299</v>
      </c>
      <c r="G33" s="10"/>
    </row>
    <row r="35" spans="1:14" ht="21" customHeight="1">
      <c r="A35" s="1" t="s">
        <v>141</v>
      </c>
    </row>
    <row r="36" spans="1:14">
      <c r="A36" s="2" t="s">
        <v>112</v>
      </c>
    </row>
    <row r="37" spans="1:14">
      <c r="A37" s="12" t="s">
        <v>142</v>
      </c>
    </row>
    <row r="38" spans="1:14">
      <c r="A38" s="12" t="s">
        <v>143</v>
      </c>
    </row>
    <row r="39" spans="1:14">
      <c r="A39" s="12" t="s">
        <v>144</v>
      </c>
    </row>
    <row r="40" spans="1:14">
      <c r="A40" s="12" t="s">
        <v>145</v>
      </c>
    </row>
    <row r="41" spans="1:14">
      <c r="A41" s="12" t="s">
        <v>146</v>
      </c>
    </row>
    <row r="42" spans="1:14">
      <c r="A42" s="12" t="s">
        <v>147</v>
      </c>
    </row>
    <row r="43" spans="1:14">
      <c r="A43" s="21" t="s">
        <v>125</v>
      </c>
      <c r="B43" s="2" t="s">
        <v>126</v>
      </c>
      <c r="C43" s="2"/>
      <c r="D43" s="2"/>
      <c r="E43" s="2"/>
      <c r="F43" s="2"/>
      <c r="G43" s="2"/>
      <c r="H43" s="21" t="s">
        <v>126</v>
      </c>
      <c r="I43" s="2" t="s">
        <v>148</v>
      </c>
      <c r="J43" s="2"/>
      <c r="K43" s="2"/>
      <c r="L43" s="2"/>
      <c r="M43" s="2"/>
    </row>
    <row r="44" spans="1:14" ht="28">
      <c r="A44" s="21" t="s">
        <v>129</v>
      </c>
      <c r="B44" s="2" t="s">
        <v>149</v>
      </c>
      <c r="C44" s="2"/>
      <c r="D44" s="2"/>
      <c r="E44" s="2"/>
      <c r="F44" s="2"/>
      <c r="G44" s="2"/>
      <c r="H44" s="21" t="s">
        <v>150</v>
      </c>
      <c r="I44" s="2" t="s">
        <v>151</v>
      </c>
      <c r="J44" s="2"/>
      <c r="K44" s="2"/>
      <c r="L44" s="2"/>
      <c r="M44" s="2"/>
    </row>
    <row r="46" spans="1:14">
      <c r="B46" s="18" t="s">
        <v>152</v>
      </c>
      <c r="C46" s="18"/>
      <c r="D46" s="18"/>
      <c r="E46" s="18"/>
      <c r="F46" s="18"/>
      <c r="G46" s="18"/>
      <c r="I46" s="18" t="s">
        <v>154</v>
      </c>
      <c r="J46" s="18"/>
      <c r="K46" s="18"/>
      <c r="L46" s="18"/>
      <c r="M46" s="18"/>
    </row>
    <row r="47" spans="1:14" ht="28">
      <c r="B47" s="3" t="s">
        <v>9</v>
      </c>
      <c r="C47" s="3" t="s">
        <v>10</v>
      </c>
      <c r="D47" s="3" t="s">
        <v>11</v>
      </c>
      <c r="E47" s="3" t="s">
        <v>12</v>
      </c>
      <c r="F47" s="3" t="s">
        <v>13</v>
      </c>
      <c r="G47" s="3" t="s">
        <v>14</v>
      </c>
      <c r="H47" s="3" t="s">
        <v>153</v>
      </c>
      <c r="I47" s="3" t="s">
        <v>10</v>
      </c>
      <c r="J47" s="3" t="s">
        <v>11</v>
      </c>
      <c r="K47" s="3" t="s">
        <v>12</v>
      </c>
      <c r="L47" s="3" t="s">
        <v>13</v>
      </c>
      <c r="M47" s="3" t="s">
        <v>14</v>
      </c>
    </row>
    <row r="48" spans="1:14">
      <c r="A48" s="11" t="s">
        <v>155</v>
      </c>
      <c r="B48" s="6">
        <f>IF('11'!B22,'11'!$B27/'11'!B22/'11'!B47,0)</f>
        <v>0</v>
      </c>
      <c r="C48" s="6">
        <f>IF('11'!C22,'11'!$C27/'11'!C22/'11'!C47,0)</f>
        <v>259.6604343959682</v>
      </c>
      <c r="D48" s="6">
        <f>IF('11'!D22,'11'!$D27/'11'!D22/'11'!D47,0)</f>
        <v>33.938876413373897</v>
      </c>
      <c r="E48" s="6">
        <f>IF('11'!E22,'11'!$E27/'11'!E22/'11'!E47,0)</f>
        <v>121.80100749187996</v>
      </c>
      <c r="F48" s="6">
        <f>IF('11'!F22,'11'!$F27/'11'!F22/'11'!F47,0)</f>
        <v>94.334434787356372</v>
      </c>
      <c r="G48" s="6">
        <f>IF('11'!G22,'11'!$G27/'11'!G22/'11'!G47,0)</f>
        <v>72.923022695889557</v>
      </c>
      <c r="H48" s="6">
        <f>IF(ISNUMBER('11'!B32),IF('11'!B32,'11'!B32,$G48),$G48)</f>
        <v>72.923022695889557</v>
      </c>
      <c r="I48" s="7">
        <f>$C48</f>
        <v>259.6604343959682</v>
      </c>
      <c r="J48" s="7">
        <f>$D48</f>
        <v>33.938876413373897</v>
      </c>
      <c r="K48" s="7">
        <f>$E48</f>
        <v>121.80100749187996</v>
      </c>
      <c r="L48" s="7">
        <f>$F48</f>
        <v>94.334434787356372</v>
      </c>
      <c r="M48" s="7">
        <f>$H48</f>
        <v>72.923022695889557</v>
      </c>
      <c r="N48" s="10"/>
    </row>
    <row r="50" spans="1:1" ht="21" customHeight="1">
      <c r="A50" s="1" t="s">
        <v>156</v>
      </c>
    </row>
    <row r="51" spans="1:1">
      <c r="A51" s="2" t="s">
        <v>112</v>
      </c>
    </row>
    <row r="52" spans="1:1">
      <c r="A52" s="12" t="s">
        <v>157</v>
      </c>
    </row>
    <row r="53" spans="1:1">
      <c r="A53" s="12" t="s">
        <v>158</v>
      </c>
    </row>
    <row r="54" spans="1:1">
      <c r="A54" s="12" t="s">
        <v>159</v>
      </c>
    </row>
    <row r="55" spans="1:1">
      <c r="A55" s="12" t="s">
        <v>160</v>
      </c>
    </row>
    <row r="56" spans="1:1">
      <c r="A56" s="12" t="s">
        <v>161</v>
      </c>
    </row>
    <row r="57" spans="1:1">
      <c r="A57" s="12" t="s">
        <v>162</v>
      </c>
    </row>
    <row r="58" spans="1:1">
      <c r="A58" s="12" t="s">
        <v>163</v>
      </c>
    </row>
    <row r="59" spans="1:1">
      <c r="A59" s="12" t="s">
        <v>164</v>
      </c>
    </row>
    <row r="60" spans="1:1">
      <c r="A60" s="12" t="s">
        <v>165</v>
      </c>
    </row>
    <row r="61" spans="1:1">
      <c r="A61" s="12" t="s">
        <v>166</v>
      </c>
    </row>
    <row r="62" spans="1:1">
      <c r="A62" s="12" t="s">
        <v>167</v>
      </c>
    </row>
    <row r="63" spans="1:1">
      <c r="A63" s="12" t="s">
        <v>168</v>
      </c>
    </row>
    <row r="64" spans="1:1">
      <c r="A64" s="12" t="s">
        <v>169</v>
      </c>
    </row>
    <row r="65" spans="1:13">
      <c r="A65" s="12" t="s">
        <v>170</v>
      </c>
    </row>
    <row r="66" spans="1:13">
      <c r="A66" s="12" t="s">
        <v>171</v>
      </c>
    </row>
    <row r="67" spans="1:13">
      <c r="A67" s="21" t="s">
        <v>125</v>
      </c>
      <c r="B67" s="21" t="s">
        <v>126</v>
      </c>
      <c r="C67" s="21" t="s">
        <v>126</v>
      </c>
      <c r="D67" s="21" t="s">
        <v>126</v>
      </c>
      <c r="E67" s="21" t="s">
        <v>126</v>
      </c>
      <c r="F67" s="21" t="s">
        <v>126</v>
      </c>
      <c r="G67" s="21" t="s">
        <v>126</v>
      </c>
      <c r="H67" s="21" t="s">
        <v>126</v>
      </c>
      <c r="I67" s="21" t="s">
        <v>126</v>
      </c>
      <c r="J67" s="21" t="s">
        <v>126</v>
      </c>
      <c r="K67" s="21" t="s">
        <v>126</v>
      </c>
      <c r="L67" s="21" t="s">
        <v>126</v>
      </c>
    </row>
    <row r="68" spans="1:13" ht="56">
      <c r="A68" s="21" t="s">
        <v>129</v>
      </c>
      <c r="B68" s="21" t="s">
        <v>172</v>
      </c>
      <c r="C68" s="21" t="s">
        <v>173</v>
      </c>
      <c r="D68" s="21" t="s">
        <v>174</v>
      </c>
      <c r="E68" s="21" t="s">
        <v>175</v>
      </c>
      <c r="F68" s="21" t="s">
        <v>176</v>
      </c>
      <c r="G68" s="21" t="s">
        <v>177</v>
      </c>
      <c r="H68" s="21" t="s">
        <v>178</v>
      </c>
      <c r="I68" s="21" t="s">
        <v>179</v>
      </c>
      <c r="J68" s="21" t="s">
        <v>180</v>
      </c>
      <c r="K68" s="21" t="s">
        <v>181</v>
      </c>
      <c r="L68" s="21" t="s">
        <v>182</v>
      </c>
    </row>
    <row r="70" spans="1:13" ht="42">
      <c r="B70" s="3" t="s">
        <v>183</v>
      </c>
      <c r="C70" s="3" t="s">
        <v>184</v>
      </c>
      <c r="D70" s="3" t="s">
        <v>185</v>
      </c>
      <c r="E70" s="3" t="s">
        <v>186</v>
      </c>
      <c r="F70" s="3" t="s">
        <v>187</v>
      </c>
      <c r="G70" s="3" t="s">
        <v>188</v>
      </c>
      <c r="H70" s="3" t="s">
        <v>189</v>
      </c>
      <c r="I70" s="3" t="s">
        <v>190</v>
      </c>
      <c r="J70" s="3" t="s">
        <v>191</v>
      </c>
      <c r="K70" s="3" t="s">
        <v>192</v>
      </c>
      <c r="L70" s="3" t="s">
        <v>193</v>
      </c>
    </row>
    <row r="71" spans="1:13">
      <c r="A71" s="19">
        <v>1</v>
      </c>
      <c r="B71" s="6">
        <f>IF(OR(B$33,NOT(ISERROR(SEARCH("[ADDED]",'935'!B7)))),1,IF(ISERROR(SEARCH("[REMOVED]",'935'!B7)),0,-1))</f>
        <v>0</v>
      </c>
      <c r="C71" s="6" t="b">
        <f>'935'!C7&lt;&gt;"VOID"</f>
        <v>1</v>
      </c>
      <c r="D71" s="22">
        <f>IF('935'!C7="VOID",0,('935'!C7*(1-'935'!W7/'11'!B$17)))</f>
        <v>5000</v>
      </c>
      <c r="E71" s="22">
        <f>D71-('935'!S7*(1-'935'!W7/'11'!B$17))</f>
        <v>5000</v>
      </c>
      <c r="F71" s="6" t="b">
        <f>OR('935'!E7&lt;&gt;"VOID",'935'!F7&lt;&gt;"VOID",'935'!G7&lt;&gt;"VOID")</f>
        <v>0</v>
      </c>
      <c r="G71" s="22">
        <f>IF('935'!U7="VOID",0,'935'!U7*(1-'935'!W7/'11'!B$17))</f>
        <v>0</v>
      </c>
      <c r="H71" s="22">
        <f>IF('935'!D7="VOID",0,'935'!D7*(1-'935'!W7/'11'!B$17))</f>
        <v>0</v>
      </c>
      <c r="I71" s="22">
        <f>IF('935'!E7="VOID",0,'935'!E7*(1-'935'!W7/'11'!B$17))</f>
        <v>0</v>
      </c>
      <c r="J71" s="22">
        <f>IF('935'!F7="VOID",0,'935'!F7*(1-'935'!W7/'11'!B$17))</f>
        <v>0</v>
      </c>
      <c r="K71" s="22">
        <f>IF('935'!G7="VOID",0,'935'!G7*(1-'935'!W7/'11'!B$17))</f>
        <v>0</v>
      </c>
      <c r="L71" s="22">
        <f>I71+J71+K71</f>
        <v>0</v>
      </c>
      <c r="M71" s="10"/>
    </row>
    <row r="72" spans="1:13">
      <c r="A72" s="19">
        <v>2</v>
      </c>
      <c r="B72" s="6">
        <f>IF(OR(B$33,NOT(ISERROR(SEARCH("[ADDED]",'935'!B8)))),1,IF(ISERROR(SEARCH("[REMOVED]",'935'!B8)),0,-1))</f>
        <v>0</v>
      </c>
      <c r="C72" s="6" t="b">
        <f>'935'!C8&lt;&gt;"VOID"</f>
        <v>1</v>
      </c>
      <c r="D72" s="22">
        <f>IF('935'!C8="VOID",0,('935'!C8*(1-'935'!W8/'11'!B$17)))</f>
        <v>5000</v>
      </c>
      <c r="E72" s="22">
        <f>D72-('935'!S8*(1-'935'!W8/'11'!B$17))</f>
        <v>5000</v>
      </c>
      <c r="F72" s="6" t="b">
        <f>OR('935'!E8&lt;&gt;"VOID",'935'!F8&lt;&gt;"VOID",'935'!G8&lt;&gt;"VOID")</f>
        <v>0</v>
      </c>
      <c r="G72" s="22">
        <f>IF('935'!U8="VOID",0,'935'!U8*(1-'935'!W8/'11'!B$17))</f>
        <v>0</v>
      </c>
      <c r="H72" s="22">
        <f>IF('935'!D8="VOID",0,'935'!D8*(1-'935'!W8/'11'!B$17))</f>
        <v>0</v>
      </c>
      <c r="I72" s="22">
        <f>IF('935'!E8="VOID",0,'935'!E8*(1-'935'!W8/'11'!B$17))</f>
        <v>0</v>
      </c>
      <c r="J72" s="22">
        <f>IF('935'!F8="VOID",0,'935'!F8*(1-'935'!W8/'11'!B$17))</f>
        <v>0</v>
      </c>
      <c r="K72" s="22">
        <f>IF('935'!G8="VOID",0,'935'!G8*(1-'935'!W8/'11'!B$17))</f>
        <v>0</v>
      </c>
      <c r="L72" s="22">
        <f>I72+J72+K72</f>
        <v>0</v>
      </c>
      <c r="M72" s="10"/>
    </row>
    <row r="73" spans="1:13">
      <c r="A73" s="19">
        <v>3</v>
      </c>
      <c r="B73" s="6">
        <f>IF(OR(B$33,NOT(ISERROR(SEARCH("[ADDED]",'935'!B9)))),1,IF(ISERROR(SEARCH("[REMOVED]",'935'!B9)),0,-1))</f>
        <v>0</v>
      </c>
      <c r="C73" s="6" t="b">
        <f>'935'!C9&lt;&gt;"VOID"</f>
        <v>1</v>
      </c>
      <c r="D73" s="22">
        <f>IF('935'!C9="VOID",0,('935'!C9*(1-'935'!W9/'11'!B$17)))</f>
        <v>5000</v>
      </c>
      <c r="E73" s="22">
        <f>D73-('935'!S9*(1-'935'!W9/'11'!B$17))</f>
        <v>5000</v>
      </c>
      <c r="F73" s="6" t="b">
        <f>OR('935'!E9&lt;&gt;"VOID",'935'!F9&lt;&gt;"VOID",'935'!G9&lt;&gt;"VOID")</f>
        <v>1</v>
      </c>
      <c r="G73" s="22">
        <f>IF('935'!U9="VOID",0,'935'!U9*(1-'935'!W9/'11'!B$17))</f>
        <v>0</v>
      </c>
      <c r="H73" s="22">
        <f>IF('935'!D9="VOID",0,'935'!D9*(1-'935'!W9/'11'!B$17))</f>
        <v>0</v>
      </c>
      <c r="I73" s="22">
        <f>IF('935'!E9="VOID",0,'935'!E9*(1-'935'!W9/'11'!B$17))</f>
        <v>0</v>
      </c>
      <c r="J73" s="22">
        <f>IF('935'!F9="VOID",0,'935'!F9*(1-'935'!W9/'11'!B$17))</f>
        <v>0</v>
      </c>
      <c r="K73" s="22">
        <f>IF('935'!G9="VOID",0,'935'!G9*(1-'935'!W9/'11'!B$17))</f>
        <v>10000</v>
      </c>
      <c r="L73" s="22">
        <f>I73+J73+K73</f>
        <v>10000</v>
      </c>
      <c r="M73" s="10"/>
    </row>
    <row r="75" spans="1:13" ht="21" customHeight="1">
      <c r="A75" s="1" t="s">
        <v>194</v>
      </c>
    </row>
    <row r="77" spans="1:13">
      <c r="C77" s="18" t="s">
        <v>196</v>
      </c>
      <c r="D77" s="18"/>
      <c r="E77" s="18"/>
      <c r="F77" s="18"/>
      <c r="G77" s="18"/>
    </row>
    <row r="78" spans="1:13" ht="28">
      <c r="B78" s="3" t="s">
        <v>195</v>
      </c>
      <c r="C78" s="3" t="s">
        <v>10</v>
      </c>
      <c r="D78" s="3" t="s">
        <v>11</v>
      </c>
      <c r="E78" s="3" t="s">
        <v>12</v>
      </c>
      <c r="F78" s="3" t="s">
        <v>13</v>
      </c>
      <c r="G78" s="3" t="s">
        <v>14</v>
      </c>
    </row>
    <row r="79" spans="1:13">
      <c r="A79" s="11" t="s">
        <v>197</v>
      </c>
      <c r="B79" s="24">
        <v>1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10"/>
    </row>
    <row r="80" spans="1:13">
      <c r="A80" s="11" t="s">
        <v>198</v>
      </c>
      <c r="B80" s="24">
        <v>2</v>
      </c>
      <c r="C80" s="24">
        <v>1</v>
      </c>
      <c r="D80" s="24">
        <v>0</v>
      </c>
      <c r="E80" s="24">
        <v>0</v>
      </c>
      <c r="F80" s="24">
        <v>0</v>
      </c>
      <c r="G80" s="24">
        <v>0</v>
      </c>
      <c r="H80" s="10"/>
    </row>
    <row r="81" spans="1:8">
      <c r="A81" s="11" t="s">
        <v>199</v>
      </c>
      <c r="B81" s="24">
        <v>3</v>
      </c>
      <c r="C81" s="24">
        <v>0</v>
      </c>
      <c r="D81" s="24">
        <v>1</v>
      </c>
      <c r="E81" s="24">
        <v>0</v>
      </c>
      <c r="F81" s="24">
        <v>0</v>
      </c>
      <c r="G81" s="24">
        <v>0</v>
      </c>
      <c r="H81" s="10"/>
    </row>
    <row r="82" spans="1:8">
      <c r="A82" s="11" t="s">
        <v>200</v>
      </c>
      <c r="B82" s="24">
        <v>3</v>
      </c>
      <c r="C82" s="24">
        <v>2</v>
      </c>
      <c r="D82" s="24">
        <v>1</v>
      </c>
      <c r="E82" s="24">
        <v>0</v>
      </c>
      <c r="F82" s="24">
        <v>0</v>
      </c>
      <c r="G82" s="24">
        <v>0</v>
      </c>
      <c r="H82" s="10"/>
    </row>
    <row r="83" spans="1:8">
      <c r="A83" s="11" t="s">
        <v>201</v>
      </c>
      <c r="B83" s="24">
        <v>4</v>
      </c>
      <c r="C83" s="24">
        <v>0</v>
      </c>
      <c r="D83" s="24">
        <v>0</v>
      </c>
      <c r="E83" s="24">
        <v>1</v>
      </c>
      <c r="F83" s="24">
        <v>0</v>
      </c>
      <c r="G83" s="24">
        <v>0</v>
      </c>
      <c r="H83" s="10"/>
    </row>
    <row r="84" spans="1:8">
      <c r="A84" s="11" t="s">
        <v>78</v>
      </c>
      <c r="B84" s="9"/>
      <c r="C84" s="9"/>
      <c r="D84" s="9"/>
      <c r="E84" s="9"/>
      <c r="F84" s="9"/>
      <c r="G84" s="9"/>
      <c r="H84" s="10"/>
    </row>
    <row r="85" spans="1:8">
      <c r="A85" s="11" t="s">
        <v>202</v>
      </c>
      <c r="B85" s="24">
        <v>4</v>
      </c>
      <c r="C85" s="24">
        <v>0</v>
      </c>
      <c r="D85" s="24">
        <v>2</v>
      </c>
      <c r="E85" s="24">
        <v>1</v>
      </c>
      <c r="F85" s="24">
        <v>0</v>
      </c>
      <c r="G85" s="24">
        <v>0</v>
      </c>
      <c r="H85" s="10"/>
    </row>
    <row r="86" spans="1:8">
      <c r="A86" s="11" t="s">
        <v>203</v>
      </c>
      <c r="B86" s="24">
        <v>4</v>
      </c>
      <c r="C86" s="24">
        <v>3</v>
      </c>
      <c r="D86" s="24">
        <v>2</v>
      </c>
      <c r="E86" s="24">
        <v>1</v>
      </c>
      <c r="F86" s="24">
        <v>0</v>
      </c>
      <c r="G86" s="24">
        <v>0</v>
      </c>
      <c r="H86" s="10"/>
    </row>
    <row r="87" spans="1:8">
      <c r="A87" s="11" t="s">
        <v>204</v>
      </c>
      <c r="B87" s="24">
        <v>6</v>
      </c>
      <c r="C87" s="24">
        <v>0</v>
      </c>
      <c r="D87" s="24">
        <v>0</v>
      </c>
      <c r="E87" s="24">
        <v>0</v>
      </c>
      <c r="F87" s="24">
        <v>0</v>
      </c>
      <c r="G87" s="24">
        <v>1</v>
      </c>
      <c r="H87" s="10"/>
    </row>
    <row r="88" spans="1:8">
      <c r="A88" s="11" t="s">
        <v>205</v>
      </c>
      <c r="B88" s="24">
        <v>6</v>
      </c>
      <c r="C88" s="24">
        <v>3</v>
      </c>
      <c r="D88" s="24">
        <v>0</v>
      </c>
      <c r="E88" s="24">
        <v>0</v>
      </c>
      <c r="F88" s="24">
        <v>0</v>
      </c>
      <c r="G88" s="24">
        <v>1</v>
      </c>
      <c r="H88" s="10"/>
    </row>
    <row r="89" spans="1:8">
      <c r="A89" s="11" t="s">
        <v>206</v>
      </c>
      <c r="B89" s="24">
        <v>5</v>
      </c>
      <c r="C89" s="24">
        <v>0</v>
      </c>
      <c r="D89" s="24">
        <v>2</v>
      </c>
      <c r="E89" s="24">
        <v>0</v>
      </c>
      <c r="F89" s="24">
        <v>1</v>
      </c>
      <c r="G89" s="24">
        <v>0</v>
      </c>
      <c r="H89" s="10"/>
    </row>
    <row r="90" spans="1:8">
      <c r="A90" s="11" t="s">
        <v>207</v>
      </c>
      <c r="B90" s="24">
        <v>5</v>
      </c>
      <c r="C90" s="24">
        <v>3</v>
      </c>
      <c r="D90" s="24">
        <v>2</v>
      </c>
      <c r="E90" s="24">
        <v>0</v>
      </c>
      <c r="F90" s="24">
        <v>1</v>
      </c>
      <c r="G90" s="24">
        <v>0</v>
      </c>
      <c r="H90" s="10"/>
    </row>
    <row r="91" spans="1:8">
      <c r="A91" s="11" t="s">
        <v>208</v>
      </c>
      <c r="B91" s="24">
        <v>5</v>
      </c>
      <c r="C91" s="24">
        <v>0</v>
      </c>
      <c r="D91" s="24">
        <v>0</v>
      </c>
      <c r="E91" s="24">
        <v>2</v>
      </c>
      <c r="F91" s="24">
        <v>1</v>
      </c>
      <c r="G91" s="24">
        <v>0</v>
      </c>
      <c r="H91" s="10"/>
    </row>
    <row r="92" spans="1:8">
      <c r="A92" s="11" t="s">
        <v>78</v>
      </c>
      <c r="B92" s="9"/>
      <c r="C92" s="9"/>
      <c r="D92" s="9"/>
      <c r="E92" s="9"/>
      <c r="F92" s="9"/>
      <c r="G92" s="9"/>
      <c r="H92" s="10"/>
    </row>
    <row r="93" spans="1:8">
      <c r="A93" s="11" t="s">
        <v>209</v>
      </c>
      <c r="B93" s="24">
        <v>5</v>
      </c>
      <c r="C93" s="24">
        <v>0</v>
      </c>
      <c r="D93" s="24">
        <v>3</v>
      </c>
      <c r="E93" s="24">
        <v>2</v>
      </c>
      <c r="F93" s="24">
        <v>1</v>
      </c>
      <c r="G93" s="24">
        <v>0</v>
      </c>
      <c r="H93" s="10"/>
    </row>
    <row r="94" spans="1:8">
      <c r="A94" s="11" t="s">
        <v>210</v>
      </c>
      <c r="B94" s="24">
        <v>5</v>
      </c>
      <c r="C94" s="24">
        <v>4</v>
      </c>
      <c r="D94" s="24">
        <v>3</v>
      </c>
      <c r="E94" s="24">
        <v>2</v>
      </c>
      <c r="F94" s="24">
        <v>1</v>
      </c>
      <c r="G94" s="24">
        <v>0</v>
      </c>
      <c r="H94" s="10"/>
    </row>
    <row r="95" spans="1:8">
      <c r="A95" s="11" t="s">
        <v>211</v>
      </c>
      <c r="B95" s="24">
        <v>5</v>
      </c>
      <c r="C95" s="24">
        <v>0</v>
      </c>
      <c r="D95" s="24">
        <v>0</v>
      </c>
      <c r="E95" s="24">
        <v>0</v>
      </c>
      <c r="F95" s="24">
        <v>1</v>
      </c>
      <c r="G95" s="24">
        <v>0</v>
      </c>
      <c r="H95" s="10"/>
    </row>
    <row r="97" spans="1:6" ht="21" customHeight="1">
      <c r="A97" s="1" t="s">
        <v>212</v>
      </c>
    </row>
    <row r="99" spans="1:6" ht="28">
      <c r="B99" s="3" t="s">
        <v>213</v>
      </c>
      <c r="C99" s="3" t="s">
        <v>214</v>
      </c>
      <c r="D99" s="3" t="s">
        <v>215</v>
      </c>
      <c r="E99" s="3" t="s">
        <v>216</v>
      </c>
    </row>
    <row r="100" spans="1:6">
      <c r="A100" s="11" t="s">
        <v>217</v>
      </c>
      <c r="B100" s="5">
        <v>0.68</v>
      </c>
      <c r="C100" s="5">
        <v>0.95</v>
      </c>
      <c r="D100" s="5">
        <v>0.5</v>
      </c>
      <c r="E100" s="5">
        <v>0.2</v>
      </c>
      <c r="F100" s="10"/>
    </row>
    <row r="102" spans="1:6" ht="21" customHeight="1">
      <c r="A102" s="1" t="s">
        <v>218</v>
      </c>
    </row>
    <row r="103" spans="1:6">
      <c r="A103" s="2" t="s">
        <v>112</v>
      </c>
    </row>
    <row r="104" spans="1:6">
      <c r="A104" s="12" t="s">
        <v>219</v>
      </c>
    </row>
    <row r="105" spans="1:6">
      <c r="A105" s="12" t="s">
        <v>220</v>
      </c>
    </row>
    <row r="106" spans="1:6">
      <c r="A106" s="12" t="s">
        <v>221</v>
      </c>
    </row>
    <row r="107" spans="1:6">
      <c r="A107" s="12" t="s">
        <v>160</v>
      </c>
    </row>
    <row r="108" spans="1:6">
      <c r="A108" s="12" t="s">
        <v>161</v>
      </c>
    </row>
    <row r="109" spans="1:6">
      <c r="A109" s="12" t="s">
        <v>222</v>
      </c>
    </row>
    <row r="110" spans="1:6">
      <c r="A110" s="12" t="s">
        <v>223</v>
      </c>
    </row>
    <row r="111" spans="1:6">
      <c r="A111" s="12" t="s">
        <v>224</v>
      </c>
    </row>
    <row r="112" spans="1:6">
      <c r="A112" s="12" t="s">
        <v>225</v>
      </c>
    </row>
    <row r="113" spans="1:11">
      <c r="A113" s="12" t="s">
        <v>226</v>
      </c>
    </row>
    <row r="114" spans="1:11">
      <c r="A114" s="12" t="s">
        <v>227</v>
      </c>
    </row>
    <row r="115" spans="1:11">
      <c r="A115" s="12" t="s">
        <v>228</v>
      </c>
    </row>
    <row r="116" spans="1:11">
      <c r="A116" s="12" t="s">
        <v>229</v>
      </c>
    </row>
    <row r="117" spans="1:11">
      <c r="A117" s="12" t="s">
        <v>230</v>
      </c>
    </row>
    <row r="118" spans="1:11">
      <c r="A118" s="12" t="s">
        <v>231</v>
      </c>
    </row>
    <row r="119" spans="1:11">
      <c r="A119" s="12" t="s">
        <v>232</v>
      </c>
    </row>
    <row r="120" spans="1:11">
      <c r="A120" s="12" t="s">
        <v>233</v>
      </c>
    </row>
    <row r="121" spans="1:11">
      <c r="A121" s="12" t="s">
        <v>234</v>
      </c>
    </row>
    <row r="122" spans="1:11">
      <c r="A122" s="21" t="s">
        <v>125</v>
      </c>
      <c r="B122" s="21" t="s">
        <v>126</v>
      </c>
      <c r="C122" s="21" t="s">
        <v>126</v>
      </c>
      <c r="D122" s="21" t="s">
        <v>126</v>
      </c>
      <c r="E122" s="21" t="s">
        <v>126</v>
      </c>
      <c r="F122" s="21" t="s">
        <v>126</v>
      </c>
      <c r="G122" s="21" t="s">
        <v>126</v>
      </c>
      <c r="H122" s="21" t="s">
        <v>126</v>
      </c>
      <c r="I122" s="21" t="s">
        <v>126</v>
      </c>
      <c r="J122" s="21" t="s">
        <v>126</v>
      </c>
    </row>
    <row r="123" spans="1:11" ht="56">
      <c r="A123" s="21" t="s">
        <v>129</v>
      </c>
      <c r="B123" s="21" t="s">
        <v>235</v>
      </c>
      <c r="C123" s="21" t="s">
        <v>236</v>
      </c>
      <c r="D123" s="21" t="s">
        <v>237</v>
      </c>
      <c r="E123" s="21" t="s">
        <v>238</v>
      </c>
      <c r="F123" s="21" t="s">
        <v>239</v>
      </c>
      <c r="G123" s="21" t="s">
        <v>240</v>
      </c>
      <c r="H123" s="21" t="s">
        <v>241</v>
      </c>
      <c r="I123" s="21" t="s">
        <v>242</v>
      </c>
      <c r="J123" s="21" t="s">
        <v>243</v>
      </c>
    </row>
    <row r="125" spans="1:11" ht="42">
      <c r="B125" s="3" t="s">
        <v>244</v>
      </c>
      <c r="C125" s="3" t="s">
        <v>245</v>
      </c>
      <c r="D125" s="3" t="s">
        <v>246</v>
      </c>
      <c r="E125" s="3" t="s">
        <v>247</v>
      </c>
      <c r="F125" s="3" t="s">
        <v>248</v>
      </c>
      <c r="G125" s="3" t="s">
        <v>249</v>
      </c>
      <c r="H125" s="3" t="s">
        <v>250</v>
      </c>
      <c r="I125" s="3" t="s">
        <v>251</v>
      </c>
      <c r="J125" s="3" t="s">
        <v>252</v>
      </c>
    </row>
    <row r="126" spans="1:11">
      <c r="A126" s="19">
        <v>1</v>
      </c>
      <c r="B126" s="6">
        <f>'935'!P7*(1-'935'!X7/'11'!D$17)/(1-'935'!W7/'11'!B$17)</f>
        <v>0.9</v>
      </c>
      <c r="C126" s="22">
        <f>IF(D71,'935'!H7*D71/(D71+H71+L71),0)</f>
        <v>9790</v>
      </c>
      <c r="D126" s="22">
        <f>IF(L71,'935'!H7*L71/(D71+H71+L71),0)</f>
        <v>0</v>
      </c>
      <c r="E126" s="22">
        <f>C126*(1-'935'!W7/'11'!B$17)</f>
        <v>9790</v>
      </c>
      <c r="F126" s="22">
        <f>D126*(1-'935'!W7/'11'!B$17)</f>
        <v>0</v>
      </c>
      <c r="G126" s="22">
        <f>1+(38*MOD('935'!J7,10)+(19*MOD('935'!J7,100)+(19*MOD('935'!J7,1000)+'935'!J7)/20)/10)/5</f>
        <v>16</v>
      </c>
      <c r="H126" s="6">
        <f>INDEX('11'!$B$47:$G$47,INDEX($B$79:$B$95,G126))</f>
        <v>1.032</v>
      </c>
      <c r="I126" s="6">
        <f>B126*H126</f>
        <v>0.92880000000000007</v>
      </c>
      <c r="J126" s="6">
        <f>H126*C$100</f>
        <v>0.98039999999999994</v>
      </c>
      <c r="K126" s="10"/>
    </row>
    <row r="127" spans="1:11">
      <c r="A127" s="19">
        <v>2</v>
      </c>
      <c r="B127" s="6">
        <f>'935'!P8*(1-'935'!X8/'11'!D$17)/(1-'935'!W8/'11'!B$17)</f>
        <v>0.01</v>
      </c>
      <c r="C127" s="22">
        <f>IF(D72,'935'!H8*D72/(D72+H72+L72),0)</f>
        <v>9790</v>
      </c>
      <c r="D127" s="22">
        <f>IF(L72,'935'!H8*L72/(D72+H72+L72),0)</f>
        <v>0</v>
      </c>
      <c r="E127" s="22">
        <f>C127*(1-'935'!W8/'11'!B$17)</f>
        <v>9790</v>
      </c>
      <c r="F127" s="22">
        <f>D127*(1-'935'!W8/'11'!B$17)</f>
        <v>0</v>
      </c>
      <c r="G127" s="22">
        <f>1+(38*MOD('935'!J8,10)+(19*MOD('935'!J8,100)+(19*MOD('935'!J8,1000)+'935'!J8)/20)/10)/5</f>
        <v>16</v>
      </c>
      <c r="H127" s="6">
        <f>INDEX('11'!$B$47:$G$47,INDEX($B$79:$B$95,G127))</f>
        <v>1.032</v>
      </c>
      <c r="I127" s="6">
        <f>B127*H127</f>
        <v>1.0320000000000001E-2</v>
      </c>
      <c r="J127" s="6">
        <f>H127*C$100</f>
        <v>0.98039999999999994</v>
      </c>
      <c r="K127" s="10"/>
    </row>
    <row r="128" spans="1:11">
      <c r="A128" s="19">
        <v>3</v>
      </c>
      <c r="B128" s="6">
        <f>'935'!P9*(1-'935'!X9/'11'!D$17)/(1-'935'!W9/'11'!B$17)</f>
        <v>0.1</v>
      </c>
      <c r="C128" s="22">
        <f>IF(D73,'935'!H9*D73/(D73+H73+L73),0)</f>
        <v>4666</v>
      </c>
      <c r="D128" s="22">
        <f>IF(L73,'935'!H9*L73/(D73+H73+L73),0)</f>
        <v>9332</v>
      </c>
      <c r="E128" s="22">
        <f>C128*(1-'935'!W9/'11'!B$17)</f>
        <v>4666</v>
      </c>
      <c r="F128" s="22">
        <f>D128*(1-'935'!W9/'11'!B$17)</f>
        <v>9332</v>
      </c>
      <c r="G128" s="22">
        <f>1+(38*MOD('935'!J9,10)+(19*MOD('935'!J9,100)+(19*MOD('935'!J9,1000)+'935'!J9)/20)/10)/5</f>
        <v>16</v>
      </c>
      <c r="H128" s="6">
        <f>INDEX('11'!$B$47:$G$47,INDEX($B$79:$B$95,G128))</f>
        <v>1.032</v>
      </c>
      <c r="I128" s="6">
        <f>B128*H128</f>
        <v>0.10320000000000001</v>
      </c>
      <c r="J128" s="6">
        <f>H128*C$100</f>
        <v>0.98039999999999994</v>
      </c>
      <c r="K128" s="10"/>
    </row>
    <row r="130" spans="1:13" ht="21" customHeight="1">
      <c r="A130" s="1" t="s">
        <v>253</v>
      </c>
    </row>
    <row r="131" spans="1:13">
      <c r="A131" s="2" t="s">
        <v>112</v>
      </c>
    </row>
    <row r="132" spans="1:13">
      <c r="A132" s="12" t="s">
        <v>254</v>
      </c>
    </row>
    <row r="133" spans="1:13">
      <c r="A133" s="12" t="s">
        <v>255</v>
      </c>
    </row>
    <row r="134" spans="1:13">
      <c r="A134" s="12" t="s">
        <v>256</v>
      </c>
    </row>
    <row r="135" spans="1:13">
      <c r="A135" s="12" t="s">
        <v>257</v>
      </c>
    </row>
    <row r="136" spans="1:13">
      <c r="A136" s="12" t="s">
        <v>258</v>
      </c>
    </row>
    <row r="137" spans="1:13">
      <c r="A137" s="12" t="s">
        <v>259</v>
      </c>
    </row>
    <row r="138" spans="1:13">
      <c r="A138" s="12" t="s">
        <v>260</v>
      </c>
    </row>
    <row r="139" spans="1:13">
      <c r="A139" s="12" t="s">
        <v>261</v>
      </c>
    </row>
    <row r="140" spans="1:13">
      <c r="A140" s="12" t="s">
        <v>262</v>
      </c>
    </row>
    <row r="141" spans="1:13">
      <c r="A141" s="21" t="s">
        <v>125</v>
      </c>
      <c r="B141" s="2" t="s">
        <v>263</v>
      </c>
      <c r="C141" s="2"/>
      <c r="D141" s="2"/>
      <c r="E141" s="2"/>
      <c r="F141" s="2"/>
      <c r="G141" s="21" t="s">
        <v>127</v>
      </c>
      <c r="H141" s="2" t="s">
        <v>263</v>
      </c>
      <c r="I141" s="2"/>
      <c r="J141" s="2"/>
      <c r="K141" s="2"/>
      <c r="L141" s="2"/>
      <c r="M141" s="21" t="s">
        <v>127</v>
      </c>
    </row>
    <row r="142" spans="1:13">
      <c r="A142" s="21" t="s">
        <v>129</v>
      </c>
      <c r="B142" s="2" t="s">
        <v>264</v>
      </c>
      <c r="C142" s="2"/>
      <c r="D142" s="2"/>
      <c r="E142" s="2"/>
      <c r="F142" s="2"/>
      <c r="G142" s="21" t="s">
        <v>265</v>
      </c>
      <c r="H142" s="2" t="s">
        <v>266</v>
      </c>
      <c r="I142" s="2"/>
      <c r="J142" s="2"/>
      <c r="K142" s="2"/>
      <c r="L142" s="2"/>
      <c r="M142" s="21" t="s">
        <v>267</v>
      </c>
    </row>
    <row r="144" spans="1:13">
      <c r="B144" s="18" t="s">
        <v>268</v>
      </c>
      <c r="C144" s="18"/>
      <c r="D144" s="18"/>
      <c r="E144" s="18"/>
      <c r="F144" s="18"/>
      <c r="H144" s="18" t="s">
        <v>270</v>
      </c>
      <c r="I144" s="18"/>
      <c r="J144" s="18"/>
      <c r="K144" s="18"/>
      <c r="L144" s="18"/>
    </row>
    <row r="145" spans="1:14" ht="28">
      <c r="B145" s="3" t="s">
        <v>10</v>
      </c>
      <c r="C145" s="3" t="s">
        <v>11</v>
      </c>
      <c r="D145" s="3" t="s">
        <v>12</v>
      </c>
      <c r="E145" s="3" t="s">
        <v>13</v>
      </c>
      <c r="F145" s="3" t="s">
        <v>14</v>
      </c>
      <c r="G145" s="3" t="s">
        <v>269</v>
      </c>
      <c r="H145" s="3" t="s">
        <v>10</v>
      </c>
      <c r="I145" s="3" t="s">
        <v>11</v>
      </c>
      <c r="J145" s="3" t="s">
        <v>12</v>
      </c>
      <c r="K145" s="3" t="s">
        <v>13</v>
      </c>
      <c r="L145" s="3" t="s">
        <v>14</v>
      </c>
      <c r="M145" s="3" t="s">
        <v>271</v>
      </c>
    </row>
    <row r="146" spans="1:14">
      <c r="A146" s="19">
        <v>1</v>
      </c>
      <c r="B146" s="6">
        <f>IF(INDEX(C$79:C$95,$G126)=1,'935'!K7*$J126/(1+'11'!C$12),0)</f>
        <v>0</v>
      </c>
      <c r="C146" s="6">
        <f>IF(INDEX(D$79:D$95,$G126)=1,'935'!L7*$J126/(1+'11'!D$12),0)</f>
        <v>0</v>
      </c>
      <c r="D146" s="6">
        <f>IF(INDEX(E$79:E$95,$G126)=1,'935'!M7*$J126/(1+'11'!E$12),0)</f>
        <v>0</v>
      </c>
      <c r="E146" s="6">
        <f>IF(INDEX(F$79:F$95,$G126)=1,'935'!N7*$J126/(1+'11'!F$12),0)</f>
        <v>0.79635203202082183</v>
      </c>
      <c r="F146" s="6">
        <f>IF(INDEX(G$79:G$95,$G126)=1,'935'!O7*$J126/(1+'11'!G$12),0)</f>
        <v>0</v>
      </c>
      <c r="G146" s="6">
        <f>SUMPRODUCT($B146:$F146,$I$48:$M$48)</f>
        <v>75.123418832446944</v>
      </c>
      <c r="H146" s="6">
        <f>IF(INDEX(C$79:C$95,$G126)&gt;1,'935'!K7*$I126,0)</f>
        <v>0.92880000000000007</v>
      </c>
      <c r="I146" s="6">
        <f>IF(INDEX(D$79:D$95,$G126)&gt;1,'935'!L7*$I126,0)</f>
        <v>0.92880000000000007</v>
      </c>
      <c r="J146" s="6">
        <f>IF(INDEX(E$79:E$95,$G126)&gt;1,'935'!M7*$I126,0)</f>
        <v>0.92880000000000007</v>
      </c>
      <c r="K146" s="6">
        <f>IF(INDEX(F$79:F$95,$G126)&gt;1,'935'!N7*$I126,0)</f>
        <v>0</v>
      </c>
      <c r="L146" s="6">
        <f>IF(INDEX(G$79:G$95,$G126)&gt;1,'935'!O7*$I126,0)</f>
        <v>0</v>
      </c>
      <c r="M146" s="6">
        <f>SUMPRODUCT($H146:$L146,$I$48:$M$48)</f>
        <v>385.82381563817506</v>
      </c>
      <c r="N146" s="10"/>
    </row>
    <row r="147" spans="1:14">
      <c r="A147" s="19">
        <v>2</v>
      </c>
      <c r="B147" s="6">
        <f>IF(INDEX(C$79:C$95,$G127)=1,'935'!K8*$J127/(1+'11'!C$12),0)</f>
        <v>0</v>
      </c>
      <c r="C147" s="6">
        <f>IF(INDEX(D$79:D$95,$G127)=1,'935'!L8*$J127/(1+'11'!D$12),0)</f>
        <v>0</v>
      </c>
      <c r="D147" s="6">
        <f>IF(INDEX(E$79:E$95,$G127)=1,'935'!M8*$J127/(1+'11'!E$12),0)</f>
        <v>0</v>
      </c>
      <c r="E147" s="6">
        <f>IF(INDEX(F$79:F$95,$G127)=1,'935'!N8*$J127/(1+'11'!F$12),0)</f>
        <v>0.79635203202082183</v>
      </c>
      <c r="F147" s="6">
        <f>IF(INDEX(G$79:G$95,$G127)=1,'935'!O8*$J127/(1+'11'!G$12),0)</f>
        <v>0</v>
      </c>
      <c r="G147" s="6">
        <f>SUMPRODUCT($B147:$F147,$I$48:$M$48)</f>
        <v>75.123418832446944</v>
      </c>
      <c r="H147" s="6">
        <f>IF(INDEX(C$79:C$95,$G127)&gt;1,'935'!K8*$I127,0)</f>
        <v>1.0320000000000001E-2</v>
      </c>
      <c r="I147" s="6">
        <f>IF(INDEX(D$79:D$95,$G127)&gt;1,'935'!L8*$I127,0)</f>
        <v>1.0320000000000001E-2</v>
      </c>
      <c r="J147" s="6">
        <f>IF(INDEX(E$79:E$95,$G127)&gt;1,'935'!M8*$I127,0)</f>
        <v>1.0320000000000001E-2</v>
      </c>
      <c r="K147" s="6">
        <f>IF(INDEX(F$79:F$95,$G127)&gt;1,'935'!N8*$I127,0)</f>
        <v>0</v>
      </c>
      <c r="L147" s="6">
        <f>IF(INDEX(G$79:G$95,$G127)&gt;1,'935'!O8*$I127,0)</f>
        <v>0</v>
      </c>
      <c r="M147" s="6">
        <f>SUMPRODUCT($H147:$L147,$I$48:$M$48)</f>
        <v>4.2869312848686114</v>
      </c>
      <c r="N147" s="10"/>
    </row>
    <row r="148" spans="1:14">
      <c r="A148" s="19">
        <v>3</v>
      </c>
      <c r="B148" s="6">
        <f>IF(INDEX(C$79:C$95,$G128)=1,'935'!K9*$J128/(1+'11'!C$12),0)</f>
        <v>0</v>
      </c>
      <c r="C148" s="6">
        <f>IF(INDEX(D$79:D$95,$G128)=1,'935'!L9*$J128/(1+'11'!D$12),0)</f>
        <v>0</v>
      </c>
      <c r="D148" s="6">
        <f>IF(INDEX(E$79:E$95,$G128)=1,'935'!M9*$J128/(1+'11'!E$12),0)</f>
        <v>0</v>
      </c>
      <c r="E148" s="6">
        <f>IF(INDEX(F$79:F$95,$G128)=1,'935'!N9*$J128/(1+'11'!F$12),0)</f>
        <v>0.50249813220513861</v>
      </c>
      <c r="F148" s="6">
        <f>IF(INDEX(G$79:G$95,$G128)=1,'935'!O9*$J128/(1+'11'!G$12),0)</f>
        <v>0</v>
      </c>
      <c r="G148" s="6">
        <f>SUMPRODUCT($B148:$F148,$I$48:$M$48)</f>
        <v>47.40287728327403</v>
      </c>
      <c r="H148" s="6">
        <f>IF(INDEX(C$79:C$95,$G128)&gt;1,'935'!K9*$I128,0)</f>
        <v>2.8173600000000007E-2</v>
      </c>
      <c r="I148" s="6">
        <f>IF(INDEX(D$79:D$95,$G128)&gt;1,'935'!L9*$I128,0)</f>
        <v>6.9866400000000009E-2</v>
      </c>
      <c r="J148" s="6">
        <f>IF(INDEX(E$79:E$95,$G128)&gt;1,'935'!M9*$I128,0)</f>
        <v>3.4262400000000005E-2</v>
      </c>
      <c r="K148" s="6">
        <f>IF(INDEX(F$79:F$95,$G128)&gt;1,'935'!N9*$I128,0)</f>
        <v>0</v>
      </c>
      <c r="L148" s="6">
        <f>IF(INDEX(G$79:G$95,$G128)&gt;1,'935'!O9*$I128,0)</f>
        <v>0</v>
      </c>
      <c r="M148" s="6">
        <f>SUMPRODUCT($H148:$L148,$I$48:$M$48)</f>
        <v>13.859951168635385</v>
      </c>
      <c r="N148" s="10"/>
    </row>
    <row r="150" spans="1:14" ht="21" customHeight="1">
      <c r="A150" s="1" t="s">
        <v>272</v>
      </c>
    </row>
    <row r="151" spans="1:14">
      <c r="A151" s="2" t="s">
        <v>112</v>
      </c>
    </row>
    <row r="152" spans="1:14">
      <c r="A152" s="12" t="s">
        <v>273</v>
      </c>
    </row>
    <row r="153" spans="1:14">
      <c r="A153" s="12" t="s">
        <v>274</v>
      </c>
    </row>
    <row r="154" spans="1:14">
      <c r="A154" s="12" t="s">
        <v>275</v>
      </c>
    </row>
    <row r="155" spans="1:14">
      <c r="A155" s="2" t="s">
        <v>276</v>
      </c>
    </row>
    <row r="157" spans="1:14">
      <c r="B157" s="3" t="s">
        <v>10</v>
      </c>
      <c r="C157" s="3" t="s">
        <v>11</v>
      </c>
      <c r="D157" s="3" t="s">
        <v>12</v>
      </c>
      <c r="E157" s="3" t="s">
        <v>13</v>
      </c>
      <c r="F157" s="3" t="s">
        <v>14</v>
      </c>
    </row>
    <row r="158" spans="1:14">
      <c r="A158" s="19">
        <v>1</v>
      </c>
      <c r="B158" s="6">
        <f>MAX('11'!$C$42+0,MIN('935'!K7+0,'11'!$C$37+0))</f>
        <v>1</v>
      </c>
      <c r="C158" s="6">
        <f>MAX('11'!$D$42+0,MIN('935'!L7+0,'11'!$D$37+0))</f>
        <v>1</v>
      </c>
      <c r="D158" s="6">
        <f>MAX('11'!$E$42+0,MIN('935'!M7+0,'11'!$E$37+0))</f>
        <v>1</v>
      </c>
      <c r="E158" s="6">
        <f>MAX('11'!$F$42+0,MIN('935'!N7+0,'11'!$F$37+0))</f>
        <v>1</v>
      </c>
      <c r="F158" s="6">
        <f>MAX('11'!$G$42+0,MIN('935'!O7+0,'11'!$G$37+0))</f>
        <v>1</v>
      </c>
      <c r="G158" s="10"/>
    </row>
    <row r="159" spans="1:14">
      <c r="A159" s="19">
        <v>2</v>
      </c>
      <c r="B159" s="6">
        <f>MAX('11'!$C$42+0,MIN('935'!K8+0,'11'!$C$37+0))</f>
        <v>1</v>
      </c>
      <c r="C159" s="6">
        <f>MAX('11'!$D$42+0,MIN('935'!L8+0,'11'!$D$37+0))</f>
        <v>1</v>
      </c>
      <c r="D159" s="6">
        <f>MAX('11'!$E$42+0,MIN('935'!M8+0,'11'!$E$37+0))</f>
        <v>1</v>
      </c>
      <c r="E159" s="6">
        <f>MAX('11'!$F$42+0,MIN('935'!N8+0,'11'!$F$37+0))</f>
        <v>1</v>
      </c>
      <c r="F159" s="6">
        <f>MAX('11'!$G$42+0,MIN('935'!O8+0,'11'!$G$37+0))</f>
        <v>1</v>
      </c>
      <c r="G159" s="10"/>
    </row>
    <row r="160" spans="1:14">
      <c r="A160" s="19">
        <v>3</v>
      </c>
      <c r="B160" s="6">
        <f>MAX('11'!$C$42+0,MIN('935'!K9+0,'11'!$C$37+0))</f>
        <v>0.27300000000000002</v>
      </c>
      <c r="C160" s="6">
        <f>MAX('11'!$D$42+0,MIN('935'!L9+0,'11'!$D$37+0))</f>
        <v>0.67700000000000005</v>
      </c>
      <c r="D160" s="6">
        <f>MAX('11'!$E$42+0,MIN('935'!M9+0,'11'!$E$37+0))</f>
        <v>0.33200000000000002</v>
      </c>
      <c r="E160" s="6">
        <f>MAX('11'!$F$42+0,MIN('935'!N9+0,'11'!$F$37+0))</f>
        <v>0.63100000000000001</v>
      </c>
      <c r="F160" s="6">
        <f>MAX('11'!$G$42+0,MIN('935'!O9+0,'11'!$G$37+0))</f>
        <v>0.69699999999999995</v>
      </c>
      <c r="G160" s="10"/>
    </row>
    <row r="162" spans="1:13" ht="21" customHeight="1">
      <c r="A162" s="1" t="s">
        <v>277</v>
      </c>
    </row>
    <row r="163" spans="1:13">
      <c r="A163" s="2" t="s">
        <v>112</v>
      </c>
    </row>
    <row r="164" spans="1:13">
      <c r="A164" s="12" t="s">
        <v>254</v>
      </c>
    </row>
    <row r="165" spans="1:13">
      <c r="A165" s="12" t="s">
        <v>255</v>
      </c>
    </row>
    <row r="166" spans="1:13">
      <c r="A166" s="12" t="s">
        <v>278</v>
      </c>
    </row>
    <row r="167" spans="1:13">
      <c r="A167" s="12" t="s">
        <v>257</v>
      </c>
    </row>
    <row r="168" spans="1:13">
      <c r="A168" s="12" t="s">
        <v>258</v>
      </c>
    </row>
    <row r="169" spans="1:13">
      <c r="A169" s="12" t="s">
        <v>279</v>
      </c>
    </row>
    <row r="170" spans="1:13">
      <c r="A170" s="12" t="s">
        <v>260</v>
      </c>
    </row>
    <row r="171" spans="1:13">
      <c r="A171" s="12" t="s">
        <v>261</v>
      </c>
    </row>
    <row r="172" spans="1:13">
      <c r="A172" s="12" t="s">
        <v>280</v>
      </c>
    </row>
    <row r="173" spans="1:13">
      <c r="A173" s="21" t="s">
        <v>125</v>
      </c>
      <c r="B173" s="2" t="s">
        <v>263</v>
      </c>
      <c r="C173" s="2"/>
      <c r="D173" s="2"/>
      <c r="E173" s="2"/>
      <c r="F173" s="2"/>
      <c r="G173" s="21" t="s">
        <v>127</v>
      </c>
      <c r="H173" s="2" t="s">
        <v>263</v>
      </c>
      <c r="I173" s="2"/>
      <c r="J173" s="2"/>
      <c r="K173" s="2"/>
      <c r="L173" s="2"/>
      <c r="M173" s="21" t="s">
        <v>127</v>
      </c>
    </row>
    <row r="174" spans="1:13">
      <c r="A174" s="21" t="s">
        <v>129</v>
      </c>
      <c r="B174" s="2" t="s">
        <v>264</v>
      </c>
      <c r="C174" s="2"/>
      <c r="D174" s="2"/>
      <c r="E174" s="2"/>
      <c r="F174" s="2"/>
      <c r="G174" s="21" t="s">
        <v>265</v>
      </c>
      <c r="H174" s="2" t="s">
        <v>266</v>
      </c>
      <c r="I174" s="2"/>
      <c r="J174" s="2"/>
      <c r="K174" s="2"/>
      <c r="L174" s="2"/>
      <c r="M174" s="21" t="s">
        <v>267</v>
      </c>
    </row>
    <row r="176" spans="1:13">
      <c r="B176" s="18" t="s">
        <v>281</v>
      </c>
      <c r="C176" s="18"/>
      <c r="D176" s="18"/>
      <c r="E176" s="18"/>
      <c r="F176" s="18"/>
      <c r="H176" s="18" t="s">
        <v>283</v>
      </c>
      <c r="I176" s="18"/>
      <c r="J176" s="18"/>
      <c r="K176" s="18"/>
      <c r="L176" s="18"/>
    </row>
    <row r="177" spans="1:14" ht="42">
      <c r="B177" s="3" t="s">
        <v>10</v>
      </c>
      <c r="C177" s="3" t="s">
        <v>11</v>
      </c>
      <c r="D177" s="3" t="s">
        <v>12</v>
      </c>
      <c r="E177" s="3" t="s">
        <v>13</v>
      </c>
      <c r="F177" s="3" t="s">
        <v>14</v>
      </c>
      <c r="G177" s="3" t="s">
        <v>282</v>
      </c>
      <c r="H177" s="3" t="s">
        <v>10</v>
      </c>
      <c r="I177" s="3" t="s">
        <v>11</v>
      </c>
      <c r="J177" s="3" t="s">
        <v>12</v>
      </c>
      <c r="K177" s="3" t="s">
        <v>13</v>
      </c>
      <c r="L177" s="3" t="s">
        <v>14</v>
      </c>
      <c r="M177" s="3" t="s">
        <v>284</v>
      </c>
    </row>
    <row r="178" spans="1:14">
      <c r="A178" s="19">
        <v>1</v>
      </c>
      <c r="B178" s="6">
        <f>IF(INDEX(C$79:C$95,$G126)=1,B158*$J126/(1+'11'!C$12),0)</f>
        <v>0</v>
      </c>
      <c r="C178" s="6">
        <f>IF(INDEX(D$79:D$95,$G126)=1,C158*$J126/(1+'11'!D$12),0)</f>
        <v>0</v>
      </c>
      <c r="D178" s="6">
        <f>IF(INDEX(E$79:E$95,$G126)=1,D158*$J126/(1+'11'!E$12),0)</f>
        <v>0</v>
      </c>
      <c r="E178" s="6">
        <f>IF(INDEX(F$79:F$95,$G126)=1,E158*$J126/(1+'11'!F$12),0)</f>
        <v>0.79635203202082183</v>
      </c>
      <c r="F178" s="6">
        <f>IF(INDEX(G$79:G$95,$G126)=1,F158*$J126/(1+'11'!G$12),0)</f>
        <v>0</v>
      </c>
      <c r="G178" s="6">
        <f>SUMPRODUCT($B178:$F178,$I$48:$M$48)</f>
        <v>75.123418832446944</v>
      </c>
      <c r="H178" s="6">
        <f t="shared" ref="H178:L180" si="0">IF(INDEX(C$79:C$95,$G126)&gt;1,B158*$I126,0)</f>
        <v>0.92880000000000007</v>
      </c>
      <c r="I178" s="6">
        <f t="shared" si="0"/>
        <v>0.92880000000000007</v>
      </c>
      <c r="J178" s="6">
        <f t="shared" si="0"/>
        <v>0.92880000000000007</v>
      </c>
      <c r="K178" s="6">
        <f t="shared" si="0"/>
        <v>0</v>
      </c>
      <c r="L178" s="6">
        <f t="shared" si="0"/>
        <v>0</v>
      </c>
      <c r="M178" s="6">
        <f>SUMPRODUCT($H178:$L178,$I$48:$M$48)</f>
        <v>385.82381563817506</v>
      </c>
      <c r="N178" s="10"/>
    </row>
    <row r="179" spans="1:14">
      <c r="A179" s="19">
        <v>2</v>
      </c>
      <c r="B179" s="6">
        <f>IF(INDEX(C$79:C$95,$G127)=1,B159*$J127/(1+'11'!C$12),0)</f>
        <v>0</v>
      </c>
      <c r="C179" s="6">
        <f>IF(INDEX(D$79:D$95,$G127)=1,C159*$J127/(1+'11'!D$12),0)</f>
        <v>0</v>
      </c>
      <c r="D179" s="6">
        <f>IF(INDEX(E$79:E$95,$G127)=1,D159*$J127/(1+'11'!E$12),0)</f>
        <v>0</v>
      </c>
      <c r="E179" s="6">
        <f>IF(INDEX(F$79:F$95,$G127)=1,E159*$J127/(1+'11'!F$12),0)</f>
        <v>0.79635203202082183</v>
      </c>
      <c r="F179" s="6">
        <f>IF(INDEX(G$79:G$95,$G127)=1,F159*$J127/(1+'11'!G$12),0)</f>
        <v>0</v>
      </c>
      <c r="G179" s="6">
        <f>SUMPRODUCT($B179:$F179,$I$48:$M$48)</f>
        <v>75.123418832446944</v>
      </c>
      <c r="H179" s="6">
        <f t="shared" si="0"/>
        <v>1.0320000000000001E-2</v>
      </c>
      <c r="I179" s="6">
        <f t="shared" si="0"/>
        <v>1.0320000000000001E-2</v>
      </c>
      <c r="J179" s="6">
        <f t="shared" si="0"/>
        <v>1.0320000000000001E-2</v>
      </c>
      <c r="K179" s="6">
        <f t="shared" si="0"/>
        <v>0</v>
      </c>
      <c r="L179" s="6">
        <f t="shared" si="0"/>
        <v>0</v>
      </c>
      <c r="M179" s="6">
        <f>SUMPRODUCT($H179:$L179,$I$48:$M$48)</f>
        <v>4.2869312848686114</v>
      </c>
      <c r="N179" s="10"/>
    </row>
    <row r="180" spans="1:14">
      <c r="A180" s="19">
        <v>3</v>
      </c>
      <c r="B180" s="6">
        <f>IF(INDEX(C$79:C$95,$G128)=1,B160*$J128/(1+'11'!C$12),0)</f>
        <v>0</v>
      </c>
      <c r="C180" s="6">
        <f>IF(INDEX(D$79:D$95,$G128)=1,C160*$J128/(1+'11'!D$12),0)</f>
        <v>0</v>
      </c>
      <c r="D180" s="6">
        <f>IF(INDEX(E$79:E$95,$G128)=1,D160*$J128/(1+'11'!E$12),0)</f>
        <v>0</v>
      </c>
      <c r="E180" s="6">
        <f>IF(INDEX(F$79:F$95,$G128)=1,E160*$J128/(1+'11'!F$12),0)</f>
        <v>0.50249813220513861</v>
      </c>
      <c r="F180" s="6">
        <f>IF(INDEX(G$79:G$95,$G128)=1,F160*$J128/(1+'11'!G$12),0)</f>
        <v>0</v>
      </c>
      <c r="G180" s="6">
        <f>SUMPRODUCT($B180:$F180,$I$48:$M$48)</f>
        <v>47.40287728327403</v>
      </c>
      <c r="H180" s="6">
        <f t="shared" si="0"/>
        <v>2.8173600000000007E-2</v>
      </c>
      <c r="I180" s="6">
        <f t="shared" si="0"/>
        <v>6.9866400000000009E-2</v>
      </c>
      <c r="J180" s="6">
        <f t="shared" si="0"/>
        <v>3.4262400000000005E-2</v>
      </c>
      <c r="K180" s="6">
        <f t="shared" si="0"/>
        <v>0</v>
      </c>
      <c r="L180" s="6">
        <f t="shared" si="0"/>
        <v>0</v>
      </c>
      <c r="M180" s="6">
        <f>SUMPRODUCT($H180:$L180,$I$48:$M$48)</f>
        <v>13.859951168635385</v>
      </c>
      <c r="N180" s="10"/>
    </row>
    <row r="182" spans="1:14" ht="21" customHeight="1">
      <c r="A182" s="1" t="s">
        <v>285</v>
      </c>
    </row>
    <row r="183" spans="1:14">
      <c r="A183" s="2" t="s">
        <v>112</v>
      </c>
    </row>
    <row r="184" spans="1:14">
      <c r="A184" s="12" t="s">
        <v>286</v>
      </c>
    </row>
    <row r="185" spans="1:14">
      <c r="A185" s="12" t="s">
        <v>287</v>
      </c>
    </row>
    <row r="186" spans="1:14">
      <c r="A186" s="12" t="s">
        <v>288</v>
      </c>
    </row>
    <row r="187" spans="1:14">
      <c r="A187" s="12" t="s">
        <v>289</v>
      </c>
    </row>
    <row r="188" spans="1:14">
      <c r="A188" s="12" t="s">
        <v>290</v>
      </c>
    </row>
    <row r="189" spans="1:14">
      <c r="A189" s="12" t="s">
        <v>291</v>
      </c>
    </row>
    <row r="190" spans="1:14">
      <c r="A190" s="12" t="s">
        <v>292</v>
      </c>
    </row>
    <row r="191" spans="1:14">
      <c r="A191" s="12" t="s">
        <v>293</v>
      </c>
    </row>
    <row r="192" spans="1:14">
      <c r="A192" s="12" t="s">
        <v>294</v>
      </c>
    </row>
    <row r="193" spans="1:10">
      <c r="A193" s="12" t="s">
        <v>295</v>
      </c>
    </row>
    <row r="194" spans="1:10">
      <c r="A194" s="21" t="s">
        <v>125</v>
      </c>
      <c r="B194" s="21" t="s">
        <v>126</v>
      </c>
      <c r="C194" s="21" t="s">
        <v>126</v>
      </c>
      <c r="D194" s="21" t="s">
        <v>126</v>
      </c>
      <c r="E194" s="21" t="s">
        <v>126</v>
      </c>
      <c r="F194" s="21" t="s">
        <v>126</v>
      </c>
      <c r="G194" s="21" t="s">
        <v>126</v>
      </c>
      <c r="H194" s="21" t="s">
        <v>126</v>
      </c>
      <c r="I194" s="21" t="s">
        <v>126</v>
      </c>
    </row>
    <row r="195" spans="1:10" ht="28">
      <c r="A195" s="21" t="s">
        <v>129</v>
      </c>
      <c r="B195" s="21" t="s">
        <v>296</v>
      </c>
      <c r="C195" s="21" t="s">
        <v>297</v>
      </c>
      <c r="D195" s="21" t="s">
        <v>298</v>
      </c>
      <c r="E195" s="21" t="s">
        <v>299</v>
      </c>
      <c r="F195" s="21" t="s">
        <v>300</v>
      </c>
      <c r="G195" s="21" t="s">
        <v>301</v>
      </c>
      <c r="H195" s="21" t="s">
        <v>302</v>
      </c>
      <c r="I195" s="21" t="s">
        <v>303</v>
      </c>
    </row>
    <row r="197" spans="1:10">
      <c r="B197" s="3" t="s">
        <v>304</v>
      </c>
      <c r="C197" s="3" t="s">
        <v>305</v>
      </c>
      <c r="D197" s="3" t="s">
        <v>306</v>
      </c>
      <c r="E197" s="3" t="s">
        <v>307</v>
      </c>
      <c r="F197" s="3" t="s">
        <v>308</v>
      </c>
      <c r="G197" s="3" t="s">
        <v>309</v>
      </c>
      <c r="H197" s="3" t="s">
        <v>310</v>
      </c>
      <c r="I197" s="3" t="s">
        <v>311</v>
      </c>
    </row>
    <row r="198" spans="1:10">
      <c r="A198" s="19">
        <v>1</v>
      </c>
      <c r="B198" s="17" t="e">
        <f>MATCH('935'!I7,'913'!$B$6:$B$17,0)</f>
        <v>#N/A</v>
      </c>
      <c r="C198" s="17" t="e">
        <f>MATCH(INDEX('913'!$D$6:$D$17,B198),'913'!$B$6:$B$17,0)</f>
        <v>#N/A</v>
      </c>
      <c r="D198" s="17" t="e">
        <f>MATCH(INDEX('913'!$D$6:$D$17,C198),'913'!$B$6:$B$17,0)</f>
        <v>#N/A</v>
      </c>
      <c r="E198" s="17" t="e">
        <f>MATCH(INDEX('913'!$D$6:$D$17,D198),'913'!$B$6:$B$17,0)</f>
        <v>#N/A</v>
      </c>
      <c r="F198" s="17" t="e">
        <f>MATCH(INDEX('913'!$D$6:$D$17,E198),'913'!$B$6:$B$17,0)</f>
        <v>#N/A</v>
      </c>
      <c r="G198" s="17" t="e">
        <f>MATCH(INDEX('913'!$D$6:$D$17,F198),'913'!$B$6:$B$17,0)</f>
        <v>#N/A</v>
      </c>
      <c r="H198" s="17" t="e">
        <f>MATCH(INDEX('913'!$D$6:$D$17,G198),'913'!$B$6:$B$17,0)</f>
        <v>#N/A</v>
      </c>
      <c r="I198" s="17" t="e">
        <f>MATCH(INDEX('913'!$D$6:$D$17,H198),'913'!$B$6:$B$17,0)</f>
        <v>#N/A</v>
      </c>
      <c r="J198" s="10"/>
    </row>
    <row r="199" spans="1:10">
      <c r="A199" s="19">
        <v>2</v>
      </c>
      <c r="B199" s="17" t="e">
        <f>MATCH('935'!I8,'913'!$B$6:$B$17,0)</f>
        <v>#N/A</v>
      </c>
      <c r="C199" s="17" t="e">
        <f>MATCH(INDEX('913'!$D$6:$D$17,B199),'913'!$B$6:$B$17,0)</f>
        <v>#N/A</v>
      </c>
      <c r="D199" s="17" t="e">
        <f>MATCH(INDEX('913'!$D$6:$D$17,C199),'913'!$B$6:$B$17,0)</f>
        <v>#N/A</v>
      </c>
      <c r="E199" s="17" t="e">
        <f>MATCH(INDEX('913'!$D$6:$D$17,D199),'913'!$B$6:$B$17,0)</f>
        <v>#N/A</v>
      </c>
      <c r="F199" s="17" t="e">
        <f>MATCH(INDEX('913'!$D$6:$D$17,E199),'913'!$B$6:$B$17,0)</f>
        <v>#N/A</v>
      </c>
      <c r="G199" s="17" t="e">
        <f>MATCH(INDEX('913'!$D$6:$D$17,F199),'913'!$B$6:$B$17,0)</f>
        <v>#N/A</v>
      </c>
      <c r="H199" s="17" t="e">
        <f>MATCH(INDEX('913'!$D$6:$D$17,G199),'913'!$B$6:$B$17,0)</f>
        <v>#N/A</v>
      </c>
      <c r="I199" s="17" t="e">
        <f>MATCH(INDEX('913'!$D$6:$D$17,H199),'913'!$B$6:$B$17,0)</f>
        <v>#N/A</v>
      </c>
      <c r="J199" s="10"/>
    </row>
    <row r="200" spans="1:10">
      <c r="A200" s="19">
        <v>3</v>
      </c>
      <c r="B200" s="17" t="e">
        <f>MATCH('935'!I9,'913'!$B$6:$B$17,0)</f>
        <v>#N/A</v>
      </c>
      <c r="C200" s="17" t="e">
        <f>MATCH(INDEX('913'!$D$6:$D$17,B200),'913'!$B$6:$B$17,0)</f>
        <v>#N/A</v>
      </c>
      <c r="D200" s="17" t="e">
        <f>MATCH(INDEX('913'!$D$6:$D$17,C200),'913'!$B$6:$B$17,0)</f>
        <v>#N/A</v>
      </c>
      <c r="E200" s="17" t="e">
        <f>MATCH(INDEX('913'!$D$6:$D$17,D200),'913'!$B$6:$B$17,0)</f>
        <v>#N/A</v>
      </c>
      <c r="F200" s="17" t="e">
        <f>MATCH(INDEX('913'!$D$6:$D$17,E200),'913'!$B$6:$B$17,0)</f>
        <v>#N/A</v>
      </c>
      <c r="G200" s="17" t="e">
        <f>MATCH(INDEX('913'!$D$6:$D$17,F200),'913'!$B$6:$B$17,0)</f>
        <v>#N/A</v>
      </c>
      <c r="H200" s="17" t="e">
        <f>MATCH(INDEX('913'!$D$6:$D$17,G200),'913'!$B$6:$B$17,0)</f>
        <v>#N/A</v>
      </c>
      <c r="I200" s="17" t="e">
        <f>MATCH(INDEX('913'!$D$6:$D$17,H200),'913'!$B$6:$B$17,0)</f>
        <v>#N/A</v>
      </c>
      <c r="J200" s="10"/>
    </row>
    <row r="202" spans="1:10" ht="21" customHeight="1">
      <c r="A202" s="1" t="s">
        <v>312</v>
      </c>
    </row>
    <row r="203" spans="1:10">
      <c r="A203" s="2" t="s">
        <v>112</v>
      </c>
    </row>
    <row r="204" spans="1:10">
      <c r="A204" s="12" t="s">
        <v>313</v>
      </c>
    </row>
    <row r="205" spans="1:10">
      <c r="A205" s="12" t="s">
        <v>314</v>
      </c>
    </row>
    <row r="206" spans="1:10">
      <c r="A206" s="12" t="s">
        <v>315</v>
      </c>
    </row>
    <row r="207" spans="1:10">
      <c r="A207" s="12" t="s">
        <v>316</v>
      </c>
    </row>
    <row r="208" spans="1:10">
      <c r="A208" s="12" t="s">
        <v>317</v>
      </c>
    </row>
    <row r="209" spans="1:10">
      <c r="A209" s="12" t="s">
        <v>318</v>
      </c>
    </row>
    <row r="210" spans="1:10">
      <c r="A210" s="12" t="s">
        <v>319</v>
      </c>
    </row>
    <row r="211" spans="1:10">
      <c r="A211" s="12" t="s">
        <v>320</v>
      </c>
    </row>
    <row r="212" spans="1:10">
      <c r="A212" s="12" t="s">
        <v>321</v>
      </c>
    </row>
    <row r="213" spans="1:10">
      <c r="A213" s="21" t="s">
        <v>125</v>
      </c>
      <c r="B213" s="21" t="s">
        <v>126</v>
      </c>
      <c r="C213" s="21" t="s">
        <v>126</v>
      </c>
      <c r="D213" s="21" t="s">
        <v>126</v>
      </c>
      <c r="E213" s="21" t="s">
        <v>126</v>
      </c>
      <c r="F213" s="21" t="s">
        <v>126</v>
      </c>
      <c r="G213" s="21" t="s">
        <v>126</v>
      </c>
      <c r="H213" s="21" t="s">
        <v>126</v>
      </c>
      <c r="I213" s="21" t="s">
        <v>126</v>
      </c>
    </row>
    <row r="214" spans="1:10" ht="28">
      <c r="A214" s="21" t="s">
        <v>129</v>
      </c>
      <c r="B214" s="21" t="s">
        <v>322</v>
      </c>
      <c r="C214" s="21" t="s">
        <v>323</v>
      </c>
      <c r="D214" s="21" t="s">
        <v>324</v>
      </c>
      <c r="E214" s="21" t="s">
        <v>325</v>
      </c>
      <c r="F214" s="21" t="s">
        <v>326</v>
      </c>
      <c r="G214" s="21" t="s">
        <v>327</v>
      </c>
      <c r="H214" s="21" t="s">
        <v>328</v>
      </c>
      <c r="I214" s="21" t="s">
        <v>329</v>
      </c>
    </row>
    <row r="216" spans="1:10" ht="42">
      <c r="B216" s="3" t="s">
        <v>330</v>
      </c>
      <c r="C216" s="3" t="s">
        <v>331</v>
      </c>
      <c r="D216" s="3" t="s">
        <v>332</v>
      </c>
      <c r="E216" s="3" t="s">
        <v>333</v>
      </c>
      <c r="F216" s="3" t="s">
        <v>334</v>
      </c>
      <c r="G216" s="3" t="s">
        <v>335</v>
      </c>
      <c r="H216" s="3" t="s">
        <v>336</v>
      </c>
      <c r="I216" s="3" t="s">
        <v>337</v>
      </c>
    </row>
    <row r="217" spans="1:10">
      <c r="A217" s="19">
        <v>1</v>
      </c>
      <c r="B217" s="6">
        <f>IF(ISNUMBER(B198),MAX(0,INDEX('913'!$E$6:$E$17,B198)),0)</f>
        <v>0</v>
      </c>
      <c r="C217" s="6">
        <f>IF(ISNUMBER(C198),MAX(0,INDEX('913'!$E$6:$E$17,C198)),0)</f>
        <v>0</v>
      </c>
      <c r="D217" s="6">
        <f>IF(ISNUMBER(D198),MAX(0,INDEX('913'!$E$6:$E$17,D198)),0)</f>
        <v>0</v>
      </c>
      <c r="E217" s="6">
        <f>IF(ISNUMBER(E198),MAX(0,INDEX('913'!$E$6:$E$17,E198)),0)</f>
        <v>0</v>
      </c>
      <c r="F217" s="6">
        <f>IF(ISNUMBER(F198),MAX(0,INDEX('913'!$E$6:$E$17,F198)),0)</f>
        <v>0</v>
      </c>
      <c r="G217" s="6">
        <f>IF(ISNUMBER(G198),MAX(0,INDEX('913'!$E$6:$E$17,G198)),0)</f>
        <v>0</v>
      </c>
      <c r="H217" s="6">
        <f>IF(ISNUMBER(H198),MAX(0,INDEX('913'!$E$6:$E$17,H198)),0)</f>
        <v>0</v>
      </c>
      <c r="I217" s="6">
        <f>IF(ISNUMBER(I198),MAX(0,INDEX('913'!$E$6:$E$17,I198)),0)</f>
        <v>0</v>
      </c>
      <c r="J217" s="10"/>
    </row>
    <row r="218" spans="1:10">
      <c r="A218" s="19">
        <v>2</v>
      </c>
      <c r="B218" s="6">
        <f>IF(ISNUMBER(B199),MAX(0,INDEX('913'!$E$6:$E$17,B199)),0)</f>
        <v>0</v>
      </c>
      <c r="C218" s="6">
        <f>IF(ISNUMBER(C199),MAX(0,INDEX('913'!$E$6:$E$17,C199)),0)</f>
        <v>0</v>
      </c>
      <c r="D218" s="6">
        <f>IF(ISNUMBER(D199),MAX(0,INDEX('913'!$E$6:$E$17,D199)),0)</f>
        <v>0</v>
      </c>
      <c r="E218" s="6">
        <f>IF(ISNUMBER(E199),MAX(0,INDEX('913'!$E$6:$E$17,E199)),0)</f>
        <v>0</v>
      </c>
      <c r="F218" s="6">
        <f>IF(ISNUMBER(F199),MAX(0,INDEX('913'!$E$6:$E$17,F199)),0)</f>
        <v>0</v>
      </c>
      <c r="G218" s="6">
        <f>IF(ISNUMBER(G199),MAX(0,INDEX('913'!$E$6:$E$17,G199)),0)</f>
        <v>0</v>
      </c>
      <c r="H218" s="6">
        <f>IF(ISNUMBER(H199),MAX(0,INDEX('913'!$E$6:$E$17,H199)),0)</f>
        <v>0</v>
      </c>
      <c r="I218" s="6">
        <f>IF(ISNUMBER(I199),MAX(0,INDEX('913'!$E$6:$E$17,I199)),0)</f>
        <v>0</v>
      </c>
      <c r="J218" s="10"/>
    </row>
    <row r="219" spans="1:10">
      <c r="A219" s="19">
        <v>3</v>
      </c>
      <c r="B219" s="6">
        <f>IF(ISNUMBER(B200),MAX(0,INDEX('913'!$E$6:$E$17,B200)),0)</f>
        <v>0</v>
      </c>
      <c r="C219" s="6">
        <f>IF(ISNUMBER(C200),MAX(0,INDEX('913'!$E$6:$E$17,C200)),0)</f>
        <v>0</v>
      </c>
      <c r="D219" s="6">
        <f>IF(ISNUMBER(D200),MAX(0,INDEX('913'!$E$6:$E$17,D200)),0)</f>
        <v>0</v>
      </c>
      <c r="E219" s="6">
        <f>IF(ISNUMBER(E200),MAX(0,INDEX('913'!$E$6:$E$17,E200)),0)</f>
        <v>0</v>
      </c>
      <c r="F219" s="6">
        <f>IF(ISNUMBER(F200),MAX(0,INDEX('913'!$E$6:$E$17,F200)),0)</f>
        <v>0</v>
      </c>
      <c r="G219" s="6">
        <f>IF(ISNUMBER(G200),MAX(0,INDEX('913'!$E$6:$E$17,G200)),0)</f>
        <v>0</v>
      </c>
      <c r="H219" s="6">
        <f>IF(ISNUMBER(H200),MAX(0,INDEX('913'!$E$6:$E$17,H200)),0)</f>
        <v>0</v>
      </c>
      <c r="I219" s="6">
        <f>IF(ISNUMBER(I200),MAX(0,INDEX('913'!$E$6:$E$17,I200)),0)</f>
        <v>0</v>
      </c>
      <c r="J219" s="10"/>
    </row>
    <row r="221" spans="1:10" ht="21" customHeight="1">
      <c r="A221" s="1" t="s">
        <v>338</v>
      </c>
    </row>
    <row r="222" spans="1:10">
      <c r="A222" s="2" t="s">
        <v>112</v>
      </c>
    </row>
    <row r="223" spans="1:10">
      <c r="A223" s="12" t="s">
        <v>313</v>
      </c>
    </row>
    <row r="224" spans="1:10">
      <c r="A224" s="12" t="s">
        <v>339</v>
      </c>
    </row>
    <row r="225" spans="1:10">
      <c r="A225" s="12" t="s">
        <v>315</v>
      </c>
    </row>
    <row r="226" spans="1:10">
      <c r="A226" s="12" t="s">
        <v>316</v>
      </c>
    </row>
    <row r="227" spans="1:10">
      <c r="A227" s="12" t="s">
        <v>317</v>
      </c>
    </row>
    <row r="228" spans="1:10">
      <c r="A228" s="12" t="s">
        <v>318</v>
      </c>
    </row>
    <row r="229" spans="1:10">
      <c r="A229" s="12" t="s">
        <v>319</v>
      </c>
    </row>
    <row r="230" spans="1:10">
      <c r="A230" s="12" t="s">
        <v>320</v>
      </c>
    </row>
    <row r="231" spans="1:10">
      <c r="A231" s="12" t="s">
        <v>321</v>
      </c>
    </row>
    <row r="232" spans="1:10">
      <c r="A232" s="21" t="s">
        <v>125</v>
      </c>
      <c r="B232" s="21" t="s">
        <v>126</v>
      </c>
      <c r="C232" s="21" t="s">
        <v>126</v>
      </c>
      <c r="D232" s="21" t="s">
        <v>126</v>
      </c>
      <c r="E232" s="21" t="s">
        <v>126</v>
      </c>
      <c r="F232" s="21" t="s">
        <v>126</v>
      </c>
      <c r="G232" s="21" t="s">
        <v>126</v>
      </c>
      <c r="H232" s="21" t="s">
        <v>126</v>
      </c>
      <c r="I232" s="21" t="s">
        <v>126</v>
      </c>
    </row>
    <row r="233" spans="1:10" ht="28">
      <c r="A233" s="21" t="s">
        <v>129</v>
      </c>
      <c r="B233" s="21" t="s">
        <v>322</v>
      </c>
      <c r="C233" s="21" t="s">
        <v>323</v>
      </c>
      <c r="D233" s="21" t="s">
        <v>324</v>
      </c>
      <c r="E233" s="21" t="s">
        <v>325</v>
      </c>
      <c r="F233" s="21" t="s">
        <v>326</v>
      </c>
      <c r="G233" s="21" t="s">
        <v>327</v>
      </c>
      <c r="H233" s="21" t="s">
        <v>328</v>
      </c>
      <c r="I233" s="21" t="s">
        <v>329</v>
      </c>
    </row>
    <row r="235" spans="1:10" ht="42">
      <c r="B235" s="3" t="s">
        <v>340</v>
      </c>
      <c r="C235" s="3" t="s">
        <v>341</v>
      </c>
      <c r="D235" s="3" t="s">
        <v>342</v>
      </c>
      <c r="E235" s="3" t="s">
        <v>343</v>
      </c>
      <c r="F235" s="3" t="s">
        <v>344</v>
      </c>
      <c r="G235" s="3" t="s">
        <v>345</v>
      </c>
      <c r="H235" s="3" t="s">
        <v>346</v>
      </c>
      <c r="I235" s="3" t="s">
        <v>347</v>
      </c>
    </row>
    <row r="236" spans="1:10">
      <c r="A236" s="19">
        <v>1</v>
      </c>
      <c r="B236" s="6">
        <f>IF(ISNUMBER(B198),MAX(0,INDEX('913'!$F$6:$F$17,B198)),0)</f>
        <v>0</v>
      </c>
      <c r="C236" s="6">
        <f>IF(ISNUMBER(C198),MAX(0,INDEX('913'!$F$6:$F$17,C198)),0)</f>
        <v>0</v>
      </c>
      <c r="D236" s="6">
        <f>IF(ISNUMBER(D198),MAX(0,INDEX('913'!$F$6:$F$17,D198)),0)</f>
        <v>0</v>
      </c>
      <c r="E236" s="6">
        <f>IF(ISNUMBER(E198),MAX(0,INDEX('913'!$F$6:$F$17,E198)),0)</f>
        <v>0</v>
      </c>
      <c r="F236" s="6">
        <f>IF(ISNUMBER(F198),MAX(0,INDEX('913'!$F$6:$F$17,F198)),0)</f>
        <v>0</v>
      </c>
      <c r="G236" s="6">
        <f>IF(ISNUMBER(G198),MAX(0,INDEX('913'!$F$6:$F$17,G198)),0)</f>
        <v>0</v>
      </c>
      <c r="H236" s="6">
        <f>IF(ISNUMBER(H198),MAX(0,INDEX('913'!$F$6:$F$17,H198)),0)</f>
        <v>0</v>
      </c>
      <c r="I236" s="6">
        <f>IF(ISNUMBER(I198),MAX(0,INDEX('913'!$F$6:$F$17,I198)),0)</f>
        <v>0</v>
      </c>
      <c r="J236" s="10"/>
    </row>
    <row r="237" spans="1:10">
      <c r="A237" s="19">
        <v>2</v>
      </c>
      <c r="B237" s="6">
        <f>IF(ISNUMBER(B199),MAX(0,INDEX('913'!$F$6:$F$17,B199)),0)</f>
        <v>0</v>
      </c>
      <c r="C237" s="6">
        <f>IF(ISNUMBER(C199),MAX(0,INDEX('913'!$F$6:$F$17,C199)),0)</f>
        <v>0</v>
      </c>
      <c r="D237" s="6">
        <f>IF(ISNUMBER(D199),MAX(0,INDEX('913'!$F$6:$F$17,D199)),0)</f>
        <v>0</v>
      </c>
      <c r="E237" s="6">
        <f>IF(ISNUMBER(E199),MAX(0,INDEX('913'!$F$6:$F$17,E199)),0)</f>
        <v>0</v>
      </c>
      <c r="F237" s="6">
        <f>IF(ISNUMBER(F199),MAX(0,INDEX('913'!$F$6:$F$17,F199)),0)</f>
        <v>0</v>
      </c>
      <c r="G237" s="6">
        <f>IF(ISNUMBER(G199),MAX(0,INDEX('913'!$F$6:$F$17,G199)),0)</f>
        <v>0</v>
      </c>
      <c r="H237" s="6">
        <f>IF(ISNUMBER(H199),MAX(0,INDEX('913'!$F$6:$F$17,H199)),0)</f>
        <v>0</v>
      </c>
      <c r="I237" s="6">
        <f>IF(ISNUMBER(I199),MAX(0,INDEX('913'!$F$6:$F$17,I199)),0)</f>
        <v>0</v>
      </c>
      <c r="J237" s="10"/>
    </row>
    <row r="238" spans="1:10">
      <c r="A238" s="19">
        <v>3</v>
      </c>
      <c r="B238" s="6">
        <f>IF(ISNUMBER(B200),MAX(0,INDEX('913'!$F$6:$F$17,B200)),0)</f>
        <v>0</v>
      </c>
      <c r="C238" s="6">
        <f>IF(ISNUMBER(C200),MAX(0,INDEX('913'!$F$6:$F$17,C200)),0)</f>
        <v>0</v>
      </c>
      <c r="D238" s="6">
        <f>IF(ISNUMBER(D200),MAX(0,INDEX('913'!$F$6:$F$17,D200)),0)</f>
        <v>0</v>
      </c>
      <c r="E238" s="6">
        <f>IF(ISNUMBER(E200),MAX(0,INDEX('913'!$F$6:$F$17,E200)),0)</f>
        <v>0</v>
      </c>
      <c r="F238" s="6">
        <f>IF(ISNUMBER(F200),MAX(0,INDEX('913'!$F$6:$F$17,F200)),0)</f>
        <v>0</v>
      </c>
      <c r="G238" s="6">
        <f>IF(ISNUMBER(G200),MAX(0,INDEX('913'!$F$6:$F$17,G200)),0)</f>
        <v>0</v>
      </c>
      <c r="H238" s="6">
        <f>IF(ISNUMBER(H200),MAX(0,INDEX('913'!$F$6:$F$17,H200)),0)</f>
        <v>0</v>
      </c>
      <c r="I238" s="6">
        <f>IF(ISNUMBER(I200),MAX(0,INDEX('913'!$F$6:$F$17,I200)),0)</f>
        <v>0</v>
      </c>
      <c r="J238" s="10"/>
    </row>
    <row r="240" spans="1:10" ht="21" customHeight="1">
      <c r="A240" s="1" t="s">
        <v>348</v>
      </c>
    </row>
    <row r="241" spans="1:10">
      <c r="A241" s="2" t="s">
        <v>112</v>
      </c>
    </row>
    <row r="242" spans="1:10">
      <c r="A242" s="12" t="s">
        <v>313</v>
      </c>
    </row>
    <row r="243" spans="1:10">
      <c r="A243" s="12" t="s">
        <v>349</v>
      </c>
    </row>
    <row r="244" spans="1:10">
      <c r="A244" s="12" t="s">
        <v>350</v>
      </c>
    </row>
    <row r="245" spans="1:10">
      <c r="A245" s="12" t="s">
        <v>351</v>
      </c>
    </row>
    <row r="246" spans="1:10">
      <c r="A246" s="12" t="s">
        <v>352</v>
      </c>
    </row>
    <row r="247" spans="1:10">
      <c r="A247" s="12" t="s">
        <v>353</v>
      </c>
    </row>
    <row r="248" spans="1:10">
      <c r="A248" s="12" t="s">
        <v>354</v>
      </c>
    </row>
    <row r="249" spans="1:10">
      <c r="A249" s="12" t="s">
        <v>355</v>
      </c>
    </row>
    <row r="250" spans="1:10">
      <c r="A250" s="12" t="s">
        <v>356</v>
      </c>
    </row>
    <row r="251" spans="1:10">
      <c r="A251" s="12" t="s">
        <v>357</v>
      </c>
    </row>
    <row r="252" spans="1:10">
      <c r="A252" s="21" t="s">
        <v>125</v>
      </c>
      <c r="B252" s="21" t="s">
        <v>126</v>
      </c>
      <c r="C252" s="21" t="s">
        <v>126</v>
      </c>
      <c r="D252" s="21" t="s">
        <v>126</v>
      </c>
      <c r="E252" s="21" t="s">
        <v>126</v>
      </c>
      <c r="F252" s="21" t="s">
        <v>126</v>
      </c>
      <c r="G252" s="21" t="s">
        <v>126</v>
      </c>
      <c r="H252" s="21" t="s">
        <v>126</v>
      </c>
      <c r="I252" s="21" t="s">
        <v>126</v>
      </c>
    </row>
    <row r="253" spans="1:10" ht="42">
      <c r="A253" s="21" t="s">
        <v>129</v>
      </c>
      <c r="B253" s="21" t="s">
        <v>358</v>
      </c>
      <c r="C253" s="21" t="s">
        <v>359</v>
      </c>
      <c r="D253" s="21" t="s">
        <v>360</v>
      </c>
      <c r="E253" s="21" t="s">
        <v>361</v>
      </c>
      <c r="F253" s="21" t="s">
        <v>362</v>
      </c>
      <c r="G253" s="21" t="s">
        <v>363</v>
      </c>
      <c r="H253" s="21" t="s">
        <v>364</v>
      </c>
      <c r="I253" s="21" t="s">
        <v>365</v>
      </c>
    </row>
    <row r="255" spans="1:10" ht="28">
      <c r="B255" s="3" t="s">
        <v>366</v>
      </c>
      <c r="C255" s="3" t="s">
        <v>367</v>
      </c>
      <c r="D255" s="3" t="s">
        <v>368</v>
      </c>
      <c r="E255" s="3" t="s">
        <v>369</v>
      </c>
      <c r="F255" s="3" t="s">
        <v>370</v>
      </c>
      <c r="G255" s="3" t="s">
        <v>371</v>
      </c>
      <c r="H255" s="3" t="s">
        <v>372</v>
      </c>
      <c r="I255" s="3" t="s">
        <v>373</v>
      </c>
    </row>
    <row r="256" spans="1:10">
      <c r="A256" s="19">
        <v>1</v>
      </c>
      <c r="B256" s="22">
        <f>IF(ISNUMBER(B198),SQRT(INDEX('913'!$I$6:$I$17,B198)^2+INDEX('913'!$J$6:$J$17,B198)^2),0)</f>
        <v>0</v>
      </c>
      <c r="C256" s="22">
        <f>IF(ISNUMBER(C198),SQRT(INDEX('913'!$I$6:$I$17,C198)^2+INDEX('913'!$J$6:$J$17,C198)^2),0)</f>
        <v>0</v>
      </c>
      <c r="D256" s="22">
        <f>IF(ISNUMBER(D198),SQRT(INDEX('913'!$I$6:$I$17,D198)^2+INDEX('913'!$J$6:$J$17,D198)^2),0)</f>
        <v>0</v>
      </c>
      <c r="E256" s="22">
        <f>IF(ISNUMBER(E198),SQRT(INDEX('913'!$I$6:$I$17,E198)^2+INDEX('913'!$J$6:$J$17,E198)^2),0)</f>
        <v>0</v>
      </c>
      <c r="F256" s="22">
        <f>IF(ISNUMBER(F198),SQRT(INDEX('913'!$I$6:$I$17,F198)^2+INDEX('913'!$J$6:$J$17,F198)^2),0)</f>
        <v>0</v>
      </c>
      <c r="G256" s="22">
        <f>IF(ISNUMBER(G198),SQRT(INDEX('913'!$I$6:$I$17,G198)^2+INDEX('913'!$J$6:$J$17,G198)^2),0)</f>
        <v>0</v>
      </c>
      <c r="H256" s="22">
        <f>IF(ISNUMBER(H198),SQRT(INDEX('913'!$I$6:$I$17,H198)^2+INDEX('913'!$J$6:$J$17,H198)^2),0)</f>
        <v>0</v>
      </c>
      <c r="I256" s="22">
        <f>IF(ISNUMBER(I198),SQRT(INDEX('913'!$I$6:$I$17,I198)^2+INDEX('913'!$J$6:$J$17,I198)^2),0)</f>
        <v>0</v>
      </c>
      <c r="J256" s="10"/>
    </row>
    <row r="257" spans="1:10">
      <c r="A257" s="19">
        <v>2</v>
      </c>
      <c r="B257" s="22">
        <f>IF(ISNUMBER(B199),SQRT(INDEX('913'!$I$6:$I$17,B199)^2+INDEX('913'!$J$6:$J$17,B199)^2),0)</f>
        <v>0</v>
      </c>
      <c r="C257" s="22">
        <f>IF(ISNUMBER(C199),SQRT(INDEX('913'!$I$6:$I$17,C199)^2+INDEX('913'!$J$6:$J$17,C199)^2),0)</f>
        <v>0</v>
      </c>
      <c r="D257" s="22">
        <f>IF(ISNUMBER(D199),SQRT(INDEX('913'!$I$6:$I$17,D199)^2+INDEX('913'!$J$6:$J$17,D199)^2),0)</f>
        <v>0</v>
      </c>
      <c r="E257" s="22">
        <f>IF(ISNUMBER(E199),SQRT(INDEX('913'!$I$6:$I$17,E199)^2+INDEX('913'!$J$6:$J$17,E199)^2),0)</f>
        <v>0</v>
      </c>
      <c r="F257" s="22">
        <f>IF(ISNUMBER(F199),SQRT(INDEX('913'!$I$6:$I$17,F199)^2+INDEX('913'!$J$6:$J$17,F199)^2),0)</f>
        <v>0</v>
      </c>
      <c r="G257" s="22">
        <f>IF(ISNUMBER(G199),SQRT(INDEX('913'!$I$6:$I$17,G199)^2+INDEX('913'!$J$6:$J$17,G199)^2),0)</f>
        <v>0</v>
      </c>
      <c r="H257" s="22">
        <f>IF(ISNUMBER(H199),SQRT(INDEX('913'!$I$6:$I$17,H199)^2+INDEX('913'!$J$6:$J$17,H199)^2),0)</f>
        <v>0</v>
      </c>
      <c r="I257" s="22">
        <f>IF(ISNUMBER(I199),SQRT(INDEX('913'!$I$6:$I$17,I199)^2+INDEX('913'!$J$6:$J$17,I199)^2),0)</f>
        <v>0</v>
      </c>
      <c r="J257" s="10"/>
    </row>
    <row r="258" spans="1:10">
      <c r="A258" s="19">
        <v>3</v>
      </c>
      <c r="B258" s="22">
        <f>IF(ISNUMBER(B200),SQRT(INDEX('913'!$I$6:$I$17,B200)^2+INDEX('913'!$J$6:$J$17,B200)^2),0)</f>
        <v>0</v>
      </c>
      <c r="C258" s="22">
        <f>IF(ISNUMBER(C200),SQRT(INDEX('913'!$I$6:$I$17,C200)^2+INDEX('913'!$J$6:$J$17,C200)^2),0)</f>
        <v>0</v>
      </c>
      <c r="D258" s="22">
        <f>IF(ISNUMBER(D200),SQRT(INDEX('913'!$I$6:$I$17,D200)^2+INDEX('913'!$J$6:$J$17,D200)^2),0)</f>
        <v>0</v>
      </c>
      <c r="E258" s="22">
        <f>IF(ISNUMBER(E200),SQRT(INDEX('913'!$I$6:$I$17,E200)^2+INDEX('913'!$J$6:$J$17,E200)^2),0)</f>
        <v>0</v>
      </c>
      <c r="F258" s="22">
        <f>IF(ISNUMBER(F200),SQRT(INDEX('913'!$I$6:$I$17,F200)^2+INDEX('913'!$J$6:$J$17,F200)^2),0)</f>
        <v>0</v>
      </c>
      <c r="G258" s="22">
        <f>IF(ISNUMBER(G200),SQRT(INDEX('913'!$I$6:$I$17,G200)^2+INDEX('913'!$J$6:$J$17,G200)^2),0)</f>
        <v>0</v>
      </c>
      <c r="H258" s="22">
        <f>IF(ISNUMBER(H200),SQRT(INDEX('913'!$I$6:$I$17,H200)^2+INDEX('913'!$J$6:$J$17,H200)^2),0)</f>
        <v>0</v>
      </c>
      <c r="I258" s="22">
        <f>IF(ISNUMBER(I200),SQRT(INDEX('913'!$I$6:$I$17,I200)^2+INDEX('913'!$J$6:$J$17,I200)^2),0)</f>
        <v>0</v>
      </c>
      <c r="J258" s="10"/>
    </row>
    <row r="260" spans="1:10" ht="21" customHeight="1">
      <c r="A260" s="1" t="s">
        <v>374</v>
      </c>
    </row>
    <row r="261" spans="1:10">
      <c r="A261" s="2" t="s">
        <v>112</v>
      </c>
    </row>
    <row r="262" spans="1:10">
      <c r="A262" s="12" t="s">
        <v>375</v>
      </c>
    </row>
    <row r="263" spans="1:10">
      <c r="A263" s="12" t="s">
        <v>376</v>
      </c>
    </row>
    <row r="264" spans="1:10">
      <c r="A264" s="12" t="s">
        <v>377</v>
      </c>
    </row>
    <row r="265" spans="1:10">
      <c r="A265" s="12" t="s">
        <v>378</v>
      </c>
    </row>
    <row r="266" spans="1:10">
      <c r="A266" s="12" t="s">
        <v>379</v>
      </c>
    </row>
    <row r="267" spans="1:10">
      <c r="A267" s="12" t="s">
        <v>380</v>
      </c>
    </row>
    <row r="268" spans="1:10">
      <c r="A268" s="12" t="s">
        <v>381</v>
      </c>
    </row>
    <row r="269" spans="1:10">
      <c r="A269" s="12" t="s">
        <v>382</v>
      </c>
    </row>
    <row r="270" spans="1:10">
      <c r="A270" s="12" t="s">
        <v>383</v>
      </c>
    </row>
    <row r="271" spans="1:10">
      <c r="A271" s="12" t="s">
        <v>384</v>
      </c>
    </row>
    <row r="272" spans="1:10">
      <c r="A272" s="12" t="s">
        <v>385</v>
      </c>
    </row>
    <row r="273" spans="1:1">
      <c r="A273" s="12" t="s">
        <v>386</v>
      </c>
    </row>
    <row r="274" spans="1:1">
      <c r="A274" s="12" t="s">
        <v>387</v>
      </c>
    </row>
    <row r="275" spans="1:1">
      <c r="A275" s="12" t="s">
        <v>388</v>
      </c>
    </row>
    <row r="276" spans="1:1">
      <c r="A276" s="12" t="s">
        <v>389</v>
      </c>
    </row>
    <row r="277" spans="1:1">
      <c r="A277" s="12" t="s">
        <v>390</v>
      </c>
    </row>
    <row r="278" spans="1:1">
      <c r="A278" s="12" t="s">
        <v>391</v>
      </c>
    </row>
    <row r="279" spans="1:1">
      <c r="A279" s="12" t="s">
        <v>392</v>
      </c>
    </row>
    <row r="280" spans="1:1">
      <c r="A280" s="12" t="s">
        <v>393</v>
      </c>
    </row>
    <row r="281" spans="1:1">
      <c r="A281" s="12" t="s">
        <v>394</v>
      </c>
    </row>
    <row r="282" spans="1:1">
      <c r="A282" s="12" t="s">
        <v>395</v>
      </c>
    </row>
    <row r="283" spans="1:1">
      <c r="A283" s="12" t="s">
        <v>396</v>
      </c>
    </row>
    <row r="284" spans="1:1">
      <c r="A284" s="12" t="s">
        <v>397</v>
      </c>
    </row>
    <row r="285" spans="1:1">
      <c r="A285" s="12" t="s">
        <v>398</v>
      </c>
    </row>
    <row r="286" spans="1:1">
      <c r="A286" s="12" t="s">
        <v>399</v>
      </c>
    </row>
    <row r="287" spans="1:1">
      <c r="A287" s="12" t="s">
        <v>400</v>
      </c>
    </row>
    <row r="288" spans="1:1">
      <c r="A288" s="12" t="s">
        <v>401</v>
      </c>
    </row>
    <row r="289" spans="1:6">
      <c r="A289" s="12" t="s">
        <v>402</v>
      </c>
    </row>
    <row r="290" spans="1:6">
      <c r="A290" s="12" t="s">
        <v>403</v>
      </c>
    </row>
    <row r="291" spans="1:6">
      <c r="A291" s="12" t="s">
        <v>404</v>
      </c>
    </row>
    <row r="292" spans="1:6">
      <c r="A292" s="12" t="s">
        <v>405</v>
      </c>
    </row>
    <row r="293" spans="1:6">
      <c r="A293" s="12" t="s">
        <v>406</v>
      </c>
    </row>
    <row r="294" spans="1:6">
      <c r="A294" s="12" t="s">
        <v>407</v>
      </c>
    </row>
    <row r="295" spans="1:6">
      <c r="A295" s="12" t="s">
        <v>408</v>
      </c>
    </row>
    <row r="296" spans="1:6">
      <c r="A296" s="12" t="s">
        <v>409</v>
      </c>
    </row>
    <row r="297" spans="1:6">
      <c r="A297" s="21" t="s">
        <v>125</v>
      </c>
      <c r="B297" s="21" t="s">
        <v>126</v>
      </c>
      <c r="C297" s="21" t="s">
        <v>126</v>
      </c>
      <c r="D297" s="21" t="s">
        <v>126</v>
      </c>
      <c r="E297" s="21" t="s">
        <v>126</v>
      </c>
    </row>
    <row r="298" spans="1:6" ht="238">
      <c r="A298" s="21" t="s">
        <v>129</v>
      </c>
      <c r="B298" s="21" t="s">
        <v>410</v>
      </c>
      <c r="C298" s="21" t="s">
        <v>411</v>
      </c>
      <c r="D298" s="21" t="s">
        <v>412</v>
      </c>
      <c r="E298" s="21" t="s">
        <v>413</v>
      </c>
    </row>
    <row r="300" spans="1:6" ht="42">
      <c r="B300" s="3" t="s">
        <v>414</v>
      </c>
      <c r="C300" s="3" t="s">
        <v>415</v>
      </c>
      <c r="D300" s="3" t="s">
        <v>416</v>
      </c>
      <c r="E300" s="3" t="s">
        <v>417</v>
      </c>
    </row>
    <row r="301" spans="1:6">
      <c r="A301" s="19">
        <v>1</v>
      </c>
      <c r="B301" s="6">
        <f>IF(B256+C256+D256+E256+F256+G256+H256+I256=0,IF(COUNT(B198,C198,D198,E198,F198,G198,H198,I198),(B217+C217+D217+E217+F217+G217+H217+I217)/COUNT(B198,C198,D198,E198,F198,G198,H198,I198),0),(B256*B217+C256*C217+D256*D217+E256*E217+F256*F217+G256*G217+H256*H217+I256*I217)/(B256+C256+D256+E256+F256+G256+H256+I256))</f>
        <v>0</v>
      </c>
      <c r="C301" s="6">
        <f>IF(B256+C256+D256+E256+F256+G256+H256+I256=0,IF(COUNT(B198,C198,D198,E198,F198,G198,H198,I198),(B236+C236+D236+E236+F236+G236+H236+I236)/COUNT(B198,C198,D198,E198,F198,G198,H198,I198),0),(B256*B236+C256*C236+D256*D236+E256*E236+F256*F236+G256*G236+H256*H236+I256*I236)/(B256+C256+D256+E256+F256+G256+H256+I256))</f>
        <v>0</v>
      </c>
      <c r="D301" s="22">
        <f>0-IF(ISNUMBER(B198),INDEX('913'!$I$6:$I$17,B198),0)-IF(ISNUMBER(C198),INDEX('913'!$I$6:$I$17,C198),0)-IF(ISNUMBER(D198),INDEX('913'!$I$6:$I$17,D198),0)-IF(ISNUMBER(E198),INDEX('913'!$I$6:$I$17,E198),0)-IF(ISNUMBER(F198),INDEX('913'!$I$6:$I$17,F198),0)-IF(ISNUMBER(G198),INDEX('913'!$I$6:$I$17,G198),0)-IF(ISNUMBER(H198),INDEX('913'!$I$6:$I$17,H198),0)-IF(ISNUMBER(I198),INDEX('913'!$I$6:$I$17,I198),0)</f>
        <v>0</v>
      </c>
      <c r="E301" s="6">
        <f>IF(D301=0,1,MAX(1,SQRT(D301^2+(IF(ISNUMBER(B198),INDEX('913'!$J$6:$J$17,B198),0)+IF(ISNUMBER(C198),INDEX('913'!$J$6:$J$17,C198),0)+IF(ISNUMBER(D198),INDEX('913'!$J$6:$J$17,D198),0)+IF(ISNUMBER(E198),INDEX('913'!$J$6:$J$17,E198),0)+IF(ISNUMBER(F198),INDEX('913'!$J$6:$J$17,F198),0)+IF(ISNUMBER(G198),INDEX('913'!$J$6:$J$17,G198),0)+IF(ISNUMBER(H198),INDEX('913'!$J$6:$J$17,H198),0)+IF(ISNUMBER(I198),INDEX('913'!$J$6:$J$17,I198),0))^2)/D301))</f>
        <v>1</v>
      </c>
      <c r="F301" s="10"/>
    </row>
    <row r="302" spans="1:6">
      <c r="A302" s="19">
        <v>2</v>
      </c>
      <c r="B302" s="6">
        <f>IF(B257+C257+D257+E257+F257+G257+H257+I257=0,IF(COUNT(B199,C199,D199,E199,F199,G199,H199,I199),(B218+C218+D218+E218+F218+G218+H218+I218)/COUNT(B199,C199,D199,E199,F199,G199,H199,I199),0),(B257*B218+C257*C218+D257*D218+E257*E218+F257*F218+G257*G218+H257*H218+I257*I218)/(B257+C257+D257+E257+F257+G257+H257+I257))</f>
        <v>0</v>
      </c>
      <c r="C302" s="6">
        <f>IF(B257+C257+D257+E257+F257+G257+H257+I257=0,IF(COUNT(B199,C199,D199,E199,F199,G199,H199,I199),(B237+C237+D237+E237+F237+G237+H237+I237)/COUNT(B199,C199,D199,E199,F199,G199,H199,I199),0),(B257*B237+C257*C237+D257*D237+E257*E237+F257*F237+G257*G237+H257*H237+I257*I237)/(B257+C257+D257+E257+F257+G257+H257+I257))</f>
        <v>0</v>
      </c>
      <c r="D302" s="22">
        <f>0-IF(ISNUMBER(B199),INDEX('913'!$I$6:$I$17,B199),0)-IF(ISNUMBER(C199),INDEX('913'!$I$6:$I$17,C199),0)-IF(ISNUMBER(D199),INDEX('913'!$I$6:$I$17,D199),0)-IF(ISNUMBER(E199),INDEX('913'!$I$6:$I$17,E199),0)-IF(ISNUMBER(F199),INDEX('913'!$I$6:$I$17,F199),0)-IF(ISNUMBER(G199),INDEX('913'!$I$6:$I$17,G199),0)-IF(ISNUMBER(H199),INDEX('913'!$I$6:$I$17,H199),0)-IF(ISNUMBER(I199),INDEX('913'!$I$6:$I$17,I199),0)</f>
        <v>0</v>
      </c>
      <c r="E302" s="6">
        <f>IF(D302=0,1,MAX(1,SQRT(D302^2+(IF(ISNUMBER(B199),INDEX('913'!$J$6:$J$17,B199),0)+IF(ISNUMBER(C199),INDEX('913'!$J$6:$J$17,C199),0)+IF(ISNUMBER(D199),INDEX('913'!$J$6:$J$17,D199),0)+IF(ISNUMBER(E199),INDEX('913'!$J$6:$J$17,E199),0)+IF(ISNUMBER(F199),INDEX('913'!$J$6:$J$17,F199),0)+IF(ISNUMBER(G199),INDEX('913'!$J$6:$J$17,G199),0)+IF(ISNUMBER(H199),INDEX('913'!$J$6:$J$17,H199),0)+IF(ISNUMBER(I199),INDEX('913'!$J$6:$J$17,I199),0))^2)/D302))</f>
        <v>1</v>
      </c>
      <c r="F302" s="10"/>
    </row>
    <row r="303" spans="1:6">
      <c r="A303" s="19">
        <v>3</v>
      </c>
      <c r="B303" s="6">
        <f>IF(B258+C258+D258+E258+F258+G258+H258+I258=0,IF(COUNT(B200,C200,D200,E200,F200,G200,H200,I200),(B219+C219+D219+E219+F219+G219+H219+I219)/COUNT(B200,C200,D200,E200,F200,G200,H200,I200),0),(B258*B219+C258*C219+D258*D219+E258*E219+F258*F219+G258*G219+H258*H219+I258*I219)/(B258+C258+D258+E258+F258+G258+H258+I258))</f>
        <v>0</v>
      </c>
      <c r="C303" s="6">
        <f>IF(B258+C258+D258+E258+F258+G258+H258+I258=0,IF(COUNT(B200,C200,D200,E200,F200,G200,H200,I200),(B238+C238+D238+E238+F238+G238+H238+I238)/COUNT(B200,C200,D200,E200,F200,G200,H200,I200),0),(B258*B238+C258*C238+D258*D238+E258*E238+F258*F238+G258*G238+H258*H238+I258*I238)/(B258+C258+D258+E258+F258+G258+H258+I258))</f>
        <v>0</v>
      </c>
      <c r="D303" s="22">
        <f>0-IF(ISNUMBER(B200),INDEX('913'!$I$6:$I$17,B200),0)-IF(ISNUMBER(C200),INDEX('913'!$I$6:$I$17,C200),0)-IF(ISNUMBER(D200),INDEX('913'!$I$6:$I$17,D200),0)-IF(ISNUMBER(E200),INDEX('913'!$I$6:$I$17,E200),0)-IF(ISNUMBER(F200),INDEX('913'!$I$6:$I$17,F200),0)-IF(ISNUMBER(G200),INDEX('913'!$I$6:$I$17,G200),0)-IF(ISNUMBER(H200),INDEX('913'!$I$6:$I$17,H200),0)-IF(ISNUMBER(I200),INDEX('913'!$I$6:$I$17,I200),0)</f>
        <v>0</v>
      </c>
      <c r="E303" s="6">
        <f>IF(D303=0,1,MAX(1,SQRT(D303^2+(IF(ISNUMBER(B200),INDEX('913'!$J$6:$J$17,B200),0)+IF(ISNUMBER(C200),INDEX('913'!$J$6:$J$17,C200),0)+IF(ISNUMBER(D200),INDEX('913'!$J$6:$J$17,D200),0)+IF(ISNUMBER(E200),INDEX('913'!$J$6:$J$17,E200),0)+IF(ISNUMBER(F200),INDEX('913'!$J$6:$J$17,F200),0)+IF(ISNUMBER(G200),INDEX('913'!$J$6:$J$17,G200),0)+IF(ISNUMBER(H200),INDEX('913'!$J$6:$J$17,H200),0)+IF(ISNUMBER(I200),INDEX('913'!$J$6:$J$17,I200),0))^2)/D303))</f>
        <v>1</v>
      </c>
      <c r="F303" s="10"/>
    </row>
    <row r="305" spans="1:7" ht="21" customHeight="1">
      <c r="A305" s="1" t="s">
        <v>418</v>
      </c>
    </row>
    <row r="306" spans="1:7">
      <c r="A306" s="2" t="s">
        <v>112</v>
      </c>
    </row>
    <row r="307" spans="1:7">
      <c r="A307" s="12" t="s">
        <v>419</v>
      </c>
    </row>
    <row r="308" spans="1:7">
      <c r="A308" s="12" t="s">
        <v>420</v>
      </c>
    </row>
    <row r="309" spans="1:7">
      <c r="A309" s="12" t="s">
        <v>421</v>
      </c>
    </row>
    <row r="310" spans="1:7">
      <c r="A310" s="12" t="s">
        <v>422</v>
      </c>
    </row>
    <row r="311" spans="1:7">
      <c r="A311" s="12" t="s">
        <v>423</v>
      </c>
    </row>
    <row r="312" spans="1:7">
      <c r="A312" s="12" t="s">
        <v>424</v>
      </c>
    </row>
    <row r="313" spans="1:7">
      <c r="A313" s="12" t="s">
        <v>425</v>
      </c>
    </row>
    <row r="314" spans="1:7">
      <c r="A314" s="12" t="s">
        <v>426</v>
      </c>
    </row>
    <row r="315" spans="1:7">
      <c r="A315" s="12" t="s">
        <v>427</v>
      </c>
    </row>
    <row r="316" spans="1:7">
      <c r="A316" s="12" t="s">
        <v>428</v>
      </c>
    </row>
    <row r="317" spans="1:7">
      <c r="A317" s="12" t="s">
        <v>429</v>
      </c>
    </row>
    <row r="318" spans="1:7">
      <c r="A318" s="21" t="s">
        <v>125</v>
      </c>
      <c r="B318" s="21" t="s">
        <v>126</v>
      </c>
      <c r="C318" s="21" t="s">
        <v>126</v>
      </c>
      <c r="D318" s="21" t="s">
        <v>126</v>
      </c>
      <c r="E318" s="21" t="s">
        <v>126</v>
      </c>
      <c r="F318" s="21" t="s">
        <v>126</v>
      </c>
      <c r="G318" s="21" t="s">
        <v>126</v>
      </c>
    </row>
    <row r="319" spans="1:7" ht="28">
      <c r="A319" s="21" t="s">
        <v>129</v>
      </c>
      <c r="B319" s="21" t="s">
        <v>430</v>
      </c>
      <c r="C319" s="21" t="s">
        <v>431</v>
      </c>
      <c r="D319" s="21" t="s">
        <v>432</v>
      </c>
      <c r="E319" s="21" t="s">
        <v>433</v>
      </c>
      <c r="F319" s="21" t="s">
        <v>434</v>
      </c>
      <c r="G319" s="21" t="s">
        <v>435</v>
      </c>
    </row>
    <row r="321" spans="1:8" ht="42">
      <c r="B321" s="3" t="s">
        <v>436</v>
      </c>
      <c r="C321" s="3" t="s">
        <v>437</v>
      </c>
      <c r="D321" s="3" t="s">
        <v>438</v>
      </c>
      <c r="E321" s="3" t="s">
        <v>439</v>
      </c>
      <c r="F321" s="3" t="s">
        <v>440</v>
      </c>
      <c r="G321" s="3" t="s">
        <v>441</v>
      </c>
    </row>
    <row r="322" spans="1:8">
      <c r="A322" s="19">
        <v>1</v>
      </c>
      <c r="B322" s="25">
        <f>100*(C301*'935'!P7*E301)/'11'!B$17</f>
        <v>0</v>
      </c>
      <c r="C322" s="25">
        <f>100*B301/'11'!B$17</f>
        <v>0</v>
      </c>
      <c r="D322" s="25">
        <f>100*(C301*E301)/'11'!D$17</f>
        <v>0</v>
      </c>
      <c r="E322" s="25">
        <f>-100*'935'!V7*(B301+C301)/'11'!D$17</f>
        <v>0</v>
      </c>
      <c r="F322" s="6">
        <f>IF(L71,(E322*L71/(L71+H71)),0)</f>
        <v>0</v>
      </c>
      <c r="G322" s="6">
        <f>ROUND(F322,3)</f>
        <v>0</v>
      </c>
      <c r="H322" s="10"/>
    </row>
    <row r="323" spans="1:8">
      <c r="A323" s="19">
        <v>2</v>
      </c>
      <c r="B323" s="25">
        <f>100*(C302*'935'!P8*E302)/'11'!B$17</f>
        <v>0</v>
      </c>
      <c r="C323" s="25">
        <f>100*B302/'11'!B$17</f>
        <v>0</v>
      </c>
      <c r="D323" s="25">
        <f>100*(C302*E302)/'11'!D$17</f>
        <v>0</v>
      </c>
      <c r="E323" s="25">
        <f>-100*'935'!V8*(B302+C302)/'11'!D$17</f>
        <v>0</v>
      </c>
      <c r="F323" s="6">
        <f>IF(L72,(E323*L72/(L72+H72)),0)</f>
        <v>0</v>
      </c>
      <c r="G323" s="6">
        <f>ROUND(F323,3)</f>
        <v>0</v>
      </c>
      <c r="H323" s="10"/>
    </row>
    <row r="324" spans="1:8">
      <c r="A324" s="19">
        <v>3</v>
      </c>
      <c r="B324" s="25">
        <f>100*(C303*'935'!P9*E303)/'11'!B$17</f>
        <v>0</v>
      </c>
      <c r="C324" s="25">
        <f>100*B303/'11'!B$17</f>
        <v>0</v>
      </c>
      <c r="D324" s="25">
        <f>100*(C303*E303)/'11'!D$17</f>
        <v>0</v>
      </c>
      <c r="E324" s="25">
        <f>-100*'935'!V9*(B303+C303)/'11'!D$17</f>
        <v>0</v>
      </c>
      <c r="F324" s="6">
        <f>IF(L73,(E324*L73/(L73+H73)),0)</f>
        <v>0</v>
      </c>
      <c r="G324" s="6">
        <f>ROUND(F324,3)</f>
        <v>0</v>
      </c>
      <c r="H324" s="10"/>
    </row>
    <row r="326" spans="1:8" ht="21" customHeight="1">
      <c r="A326" s="1" t="s">
        <v>442</v>
      </c>
    </row>
    <row r="327" spans="1:8">
      <c r="A327" s="2" t="s">
        <v>112</v>
      </c>
    </row>
    <row r="328" spans="1:8">
      <c r="A328" s="12" t="s">
        <v>443</v>
      </c>
    </row>
    <row r="329" spans="1:8">
      <c r="A329" s="12" t="s">
        <v>444</v>
      </c>
    </row>
    <row r="330" spans="1:8">
      <c r="A330" s="12" t="s">
        <v>445</v>
      </c>
    </row>
    <row r="331" spans="1:8">
      <c r="A331" s="12" t="s">
        <v>446</v>
      </c>
    </row>
    <row r="332" spans="1:8">
      <c r="A332" s="12" t="s">
        <v>447</v>
      </c>
    </row>
    <row r="333" spans="1:8">
      <c r="A333" s="12" t="s">
        <v>424</v>
      </c>
    </row>
    <row r="334" spans="1:8">
      <c r="A334" s="12" t="s">
        <v>448</v>
      </c>
    </row>
    <row r="335" spans="1:8">
      <c r="A335" s="12" t="s">
        <v>449</v>
      </c>
    </row>
    <row r="336" spans="1:8">
      <c r="A336" s="12" t="s">
        <v>450</v>
      </c>
    </row>
    <row r="337" spans="1:9">
      <c r="A337" s="12" t="s">
        <v>451</v>
      </c>
    </row>
    <row r="338" spans="1:9">
      <c r="A338" s="12" t="s">
        <v>452</v>
      </c>
    </row>
    <row r="339" spans="1:9">
      <c r="A339" s="12" t="s">
        <v>453</v>
      </c>
    </row>
    <row r="340" spans="1:9">
      <c r="A340" s="12" t="s">
        <v>454</v>
      </c>
    </row>
    <row r="341" spans="1:9">
      <c r="A341" s="12" t="s">
        <v>455</v>
      </c>
    </row>
    <row r="342" spans="1:9">
      <c r="A342" s="21" t="s">
        <v>125</v>
      </c>
      <c r="B342" s="21" t="s">
        <v>126</v>
      </c>
      <c r="C342" s="21" t="s">
        <v>126</v>
      </c>
      <c r="D342" s="21" t="s">
        <v>126</v>
      </c>
      <c r="E342" s="21" t="s">
        <v>126</v>
      </c>
      <c r="F342" s="21" t="s">
        <v>126</v>
      </c>
      <c r="G342" s="21" t="s">
        <v>126</v>
      </c>
      <c r="H342" s="21" t="s">
        <v>126</v>
      </c>
    </row>
    <row r="343" spans="1:9" ht="42">
      <c r="A343" s="21" t="s">
        <v>129</v>
      </c>
      <c r="B343" s="21" t="s">
        <v>456</v>
      </c>
      <c r="C343" s="21" t="s">
        <v>457</v>
      </c>
      <c r="D343" s="21" t="s">
        <v>458</v>
      </c>
      <c r="E343" s="21" t="s">
        <v>459</v>
      </c>
      <c r="F343" s="21" t="s">
        <v>460</v>
      </c>
      <c r="G343" s="21" t="s">
        <v>461</v>
      </c>
      <c r="H343" s="21" t="s">
        <v>462</v>
      </c>
    </row>
    <row r="345" spans="1:9" ht="42">
      <c r="B345" s="3" t="s">
        <v>463</v>
      </c>
      <c r="C345" s="3" t="s">
        <v>464</v>
      </c>
      <c r="D345" s="3" t="s">
        <v>465</v>
      </c>
      <c r="E345" s="3" t="s">
        <v>466</v>
      </c>
      <c r="F345" s="3" t="s">
        <v>467</v>
      </c>
      <c r="G345" s="3" t="s">
        <v>468</v>
      </c>
      <c r="H345" s="3" t="s">
        <v>469</v>
      </c>
    </row>
    <row r="346" spans="1:9">
      <c r="A346" s="19">
        <v>1</v>
      </c>
      <c r="B346" s="25">
        <f>IF(D71=0,0,(1-E71/D71)*(C322+IF('935'!P7=0,0,(D322*'935'!P7*('11'!D$17-'935'!X7)/('11'!B$17-'935'!W7)))))</f>
        <v>0</v>
      </c>
      <c r="C346" s="6">
        <f>IF(D71=0,1,E71/D71)*D322</f>
        <v>0</v>
      </c>
      <c r="D346" s="25">
        <f>IF(D71=0,1,E71/D71)*C322</f>
        <v>0</v>
      </c>
      <c r="E346" s="22">
        <f>'11'!D$17-'935'!X7</f>
        <v>190</v>
      </c>
      <c r="F346" s="22">
        <f>D71*(D$100+B126)</f>
        <v>7000</v>
      </c>
      <c r="G346" s="22">
        <f>'935'!R7*(D$100+B126)</f>
        <v>1.4</v>
      </c>
      <c r="H346" s="22">
        <f>(G178+M178)*D71</f>
        <v>2304736.1723531098</v>
      </c>
      <c r="I346" s="10"/>
    </row>
    <row r="347" spans="1:9">
      <c r="A347" s="19">
        <v>2</v>
      </c>
      <c r="B347" s="25">
        <f>IF(D72=0,0,(1-E72/D72)*(C323+IF('935'!P8=0,0,(D323*'935'!P8*('11'!D$17-'935'!X8)/('11'!B$17-'935'!W8)))))</f>
        <v>0</v>
      </c>
      <c r="C347" s="6">
        <f>IF(D72=0,1,E72/D72)*D323</f>
        <v>0</v>
      </c>
      <c r="D347" s="25">
        <f>IF(D72=0,1,E72/D72)*C323</f>
        <v>0</v>
      </c>
      <c r="E347" s="22">
        <f>'11'!D$17-'935'!X8</f>
        <v>190</v>
      </c>
      <c r="F347" s="22">
        <f>D72*(D$100+B127)</f>
        <v>2550</v>
      </c>
      <c r="G347" s="22">
        <f>'935'!R8*(D$100+B127)</f>
        <v>0.51</v>
      </c>
      <c r="H347" s="22">
        <f>(G179+M179)*D72</f>
        <v>397051.75058657781</v>
      </c>
      <c r="I347" s="10"/>
    </row>
    <row r="348" spans="1:9">
      <c r="A348" s="19">
        <v>3</v>
      </c>
      <c r="B348" s="25">
        <f>IF(D73=0,0,(1-E73/D73)*(C324+IF('935'!P9=0,0,(D324*'935'!P9*('11'!D$17-'935'!X9)/('11'!B$17-'935'!W9)))))</f>
        <v>0</v>
      </c>
      <c r="C348" s="6">
        <f>IF(D73=0,1,E73/D73)*D324</f>
        <v>0</v>
      </c>
      <c r="D348" s="25">
        <f>IF(D73=0,1,E73/D73)*C324</f>
        <v>0</v>
      </c>
      <c r="E348" s="22">
        <f>'11'!D$17-'935'!X9</f>
        <v>190</v>
      </c>
      <c r="F348" s="22">
        <f>D73*(D$100+B128)</f>
        <v>3000</v>
      </c>
      <c r="G348" s="22">
        <f>'935'!R9*(D$100+B128)</f>
        <v>0.6</v>
      </c>
      <c r="H348" s="22">
        <f>(G180+M180)*D73</f>
        <v>306314.14225954708</v>
      </c>
      <c r="I348" s="10"/>
    </row>
    <row r="350" spans="1:9" ht="21" customHeight="1">
      <c r="A350" s="1" t="s">
        <v>470</v>
      </c>
    </row>
    <row r="351" spans="1:9">
      <c r="A351" s="2" t="s">
        <v>112</v>
      </c>
    </row>
    <row r="352" spans="1:9">
      <c r="A352" s="12" t="s">
        <v>471</v>
      </c>
    </row>
    <row r="353" spans="1:1">
      <c r="A353" s="12" t="s">
        <v>472</v>
      </c>
    </row>
    <row r="354" spans="1:1">
      <c r="A354" s="12" t="s">
        <v>473</v>
      </c>
    </row>
    <row r="355" spans="1:1">
      <c r="A355" s="12" t="s">
        <v>474</v>
      </c>
    </row>
    <row r="356" spans="1:1">
      <c r="A356" s="12" t="s">
        <v>475</v>
      </c>
    </row>
    <row r="357" spans="1:1">
      <c r="A357" s="12" t="s">
        <v>476</v>
      </c>
    </row>
    <row r="358" spans="1:1">
      <c r="A358" s="12" t="s">
        <v>477</v>
      </c>
    </row>
    <row r="359" spans="1:1">
      <c r="A359" s="12" t="s">
        <v>478</v>
      </c>
    </row>
    <row r="360" spans="1:1">
      <c r="A360" s="12" t="s">
        <v>479</v>
      </c>
    </row>
    <row r="361" spans="1:1">
      <c r="A361" s="12" t="s">
        <v>480</v>
      </c>
    </row>
    <row r="362" spans="1:1">
      <c r="A362" s="12" t="s">
        <v>481</v>
      </c>
    </row>
    <row r="363" spans="1:1">
      <c r="A363" s="12" t="s">
        <v>482</v>
      </c>
    </row>
    <row r="364" spans="1:1">
      <c r="A364" s="12" t="s">
        <v>483</v>
      </c>
    </row>
    <row r="365" spans="1:1">
      <c r="A365" s="12" t="s">
        <v>484</v>
      </c>
    </row>
    <row r="366" spans="1:1">
      <c r="A366" s="12" t="s">
        <v>485</v>
      </c>
    </row>
    <row r="367" spans="1:1">
      <c r="A367" s="12" t="s">
        <v>486</v>
      </c>
    </row>
    <row r="368" spans="1:1">
      <c r="A368" s="12" t="s">
        <v>487</v>
      </c>
    </row>
    <row r="369" spans="1:13">
      <c r="A369" s="12" t="s">
        <v>488</v>
      </c>
    </row>
    <row r="370" spans="1:13">
      <c r="A370" s="12" t="s">
        <v>489</v>
      </c>
    </row>
    <row r="371" spans="1:13">
      <c r="A371" s="12" t="s">
        <v>490</v>
      </c>
    </row>
    <row r="372" spans="1:13">
      <c r="A372" s="12" t="s">
        <v>491</v>
      </c>
    </row>
    <row r="373" spans="1:13">
      <c r="A373" s="12" t="s">
        <v>492</v>
      </c>
    </row>
    <row r="374" spans="1:13">
      <c r="A374" s="12" t="s">
        <v>493</v>
      </c>
    </row>
    <row r="375" spans="1:13">
      <c r="A375" s="12" t="s">
        <v>494</v>
      </c>
    </row>
    <row r="376" spans="1:13">
      <c r="A376" s="12" t="s">
        <v>495</v>
      </c>
    </row>
    <row r="377" spans="1:13">
      <c r="A377" s="12" t="s">
        <v>496</v>
      </c>
    </row>
    <row r="378" spans="1:13">
      <c r="A378" s="12" t="s">
        <v>497</v>
      </c>
    </row>
    <row r="379" spans="1:13">
      <c r="A379" s="12" t="s">
        <v>498</v>
      </c>
    </row>
    <row r="380" spans="1:13">
      <c r="A380" s="12" t="s">
        <v>499</v>
      </c>
    </row>
    <row r="381" spans="1:13">
      <c r="A381" s="12" t="s">
        <v>500</v>
      </c>
    </row>
    <row r="382" spans="1:13">
      <c r="A382" s="21" t="s">
        <v>125</v>
      </c>
      <c r="B382" s="21" t="s">
        <v>126</v>
      </c>
      <c r="C382" s="21" t="s">
        <v>126</v>
      </c>
      <c r="D382" s="21" t="s">
        <v>126</v>
      </c>
      <c r="E382" s="21" t="s">
        <v>126</v>
      </c>
      <c r="F382" s="21" t="s">
        <v>126</v>
      </c>
      <c r="G382" s="21" t="s">
        <v>126</v>
      </c>
      <c r="H382" s="21" t="s">
        <v>126</v>
      </c>
      <c r="I382" s="21" t="s">
        <v>126</v>
      </c>
      <c r="J382" s="21" t="s">
        <v>126</v>
      </c>
      <c r="K382" s="21" t="s">
        <v>126</v>
      </c>
      <c r="L382" s="21" t="s">
        <v>126</v>
      </c>
      <c r="M382" s="21" t="s">
        <v>126</v>
      </c>
    </row>
    <row r="383" spans="1:13" ht="28">
      <c r="A383" s="21" t="s">
        <v>129</v>
      </c>
      <c r="B383" s="21" t="s">
        <v>501</v>
      </c>
      <c r="C383" s="21" t="s">
        <v>502</v>
      </c>
      <c r="D383" s="21" t="s">
        <v>503</v>
      </c>
      <c r="E383" s="21" t="s">
        <v>504</v>
      </c>
      <c r="F383" s="21" t="s">
        <v>505</v>
      </c>
      <c r="G383" s="21" t="s">
        <v>506</v>
      </c>
      <c r="H383" s="21" t="s">
        <v>507</v>
      </c>
      <c r="I383" s="21" t="s">
        <v>508</v>
      </c>
      <c r="J383" s="21" t="s">
        <v>509</v>
      </c>
      <c r="K383" s="21" t="s">
        <v>510</v>
      </c>
      <c r="L383" s="21" t="s">
        <v>511</v>
      </c>
      <c r="M383" s="21" t="s">
        <v>512</v>
      </c>
    </row>
    <row r="385" spans="1:14" ht="42">
      <c r="B385" s="3" t="s">
        <v>513</v>
      </c>
      <c r="C385" s="3" t="s">
        <v>514</v>
      </c>
      <c r="D385" s="3" t="s">
        <v>515</v>
      </c>
      <c r="E385" s="3" t="s">
        <v>516</v>
      </c>
      <c r="F385" s="3" t="s">
        <v>517</v>
      </c>
      <c r="G385" s="3" t="s">
        <v>518</v>
      </c>
      <c r="H385" s="3" t="s">
        <v>519</v>
      </c>
      <c r="I385" s="3" t="s">
        <v>520</v>
      </c>
      <c r="J385" s="3" t="s">
        <v>521</v>
      </c>
      <c r="K385" s="3" t="s">
        <v>522</v>
      </c>
      <c r="L385" s="3" t="s">
        <v>523</v>
      </c>
      <c r="M385" s="3" t="s">
        <v>524</v>
      </c>
    </row>
    <row r="386" spans="1:14">
      <c r="A386" s="11" t="s">
        <v>525</v>
      </c>
      <c r="B386" s="22">
        <f>IF(B33,0,'11'!B67)+SUMPRODUCT($E$126:$E$128,$B$71:$B$73)</f>
        <v>22339603.554531898</v>
      </c>
      <c r="C386" s="22">
        <f>IF(B33,0,'11'!D67)+SUMPRODUCT($G$146:$G$148,$D$71:$D$73,$B$71:$B$73)</f>
        <v>92215007.236532897</v>
      </c>
      <c r="D386" s="22">
        <f>IF(B33,0,'11'!E67)+SUMPRODUCT($M$146:$M$148,$D$71:$D$73,$B$71:$B$73)</f>
        <v>11205904.6322494</v>
      </c>
      <c r="E386" s="22">
        <f>IF(B33,0,'11'!C67)+SUMPRODUCT($F$126:$F$128,$B$71:$B$73)</f>
        <v>10691707.2168703</v>
      </c>
      <c r="F386" s="22">
        <f>B386+C386+D386+E386</f>
        <v>136452222.64018449</v>
      </c>
      <c r="G386" s="22">
        <f>IF(B33,0,'11'!B57)+SUMPRODUCT($B$71:$B$73,$I$126:$I$128,$D$71:$D$73)</f>
        <v>266192.93660711398</v>
      </c>
      <c r="H386" s="22">
        <f>F33+$G386</f>
        <v>2008745.005073044</v>
      </c>
      <c r="I386" s="6">
        <f>'11'!F17/$H386</f>
        <v>4.9315384034619072</v>
      </c>
      <c r="J386" s="26">
        <f>'11'!G17/(F386+C33+(D33+E33)/B100)</f>
        <v>6.1461742913787162E-3</v>
      </c>
      <c r="K386" s="26">
        <f>'11'!I17/(F386+C33+D33+E33)</f>
        <v>6.4408136559775831E-3</v>
      </c>
      <c r="L386" s="26">
        <f>'11'!H17/(F386+C33+(D33+E33)/B100)</f>
        <v>2.0496087272614996E-2</v>
      </c>
      <c r="M386" s="22">
        <f>L386*(F386-E386)</f>
        <v>2577598.4995652917</v>
      </c>
      <c r="N386" s="10"/>
    </row>
    <row r="388" spans="1:14" ht="21" customHeight="1">
      <c r="A388" s="1" t="s">
        <v>526</v>
      </c>
    </row>
    <row r="389" spans="1:14">
      <c r="A389" s="2" t="s">
        <v>112</v>
      </c>
    </row>
    <row r="390" spans="1:14">
      <c r="A390" s="12" t="s">
        <v>527</v>
      </c>
    </row>
    <row r="391" spans="1:14">
      <c r="A391" s="12" t="s">
        <v>528</v>
      </c>
    </row>
    <row r="392" spans="1:14">
      <c r="A392" s="12" t="s">
        <v>529</v>
      </c>
    </row>
    <row r="393" spans="1:14">
      <c r="A393" s="12" t="s">
        <v>530</v>
      </c>
    </row>
    <row r="394" spans="1:14">
      <c r="A394" s="12" t="s">
        <v>531</v>
      </c>
    </row>
    <row r="395" spans="1:14">
      <c r="A395" s="12" t="s">
        <v>532</v>
      </c>
    </row>
    <row r="396" spans="1:14">
      <c r="A396" s="12" t="s">
        <v>533</v>
      </c>
    </row>
    <row r="397" spans="1:14">
      <c r="A397" s="12" t="s">
        <v>534</v>
      </c>
    </row>
    <row r="398" spans="1:14">
      <c r="A398" s="12" t="s">
        <v>535</v>
      </c>
    </row>
    <row r="399" spans="1:14">
      <c r="A399" s="12" t="s">
        <v>536</v>
      </c>
    </row>
    <row r="400" spans="1:14">
      <c r="A400" s="12" t="s">
        <v>537</v>
      </c>
    </row>
    <row r="401" spans="1:1">
      <c r="A401" s="12" t="s">
        <v>538</v>
      </c>
    </row>
    <row r="402" spans="1:1">
      <c r="A402" s="12" t="s">
        <v>539</v>
      </c>
    </row>
    <row r="403" spans="1:1">
      <c r="A403" s="12" t="s">
        <v>540</v>
      </c>
    </row>
    <row r="404" spans="1:1">
      <c r="A404" s="12" t="s">
        <v>541</v>
      </c>
    </row>
    <row r="405" spans="1:1">
      <c r="A405" s="12" t="s">
        <v>542</v>
      </c>
    </row>
    <row r="406" spans="1:1">
      <c r="A406" s="12" t="s">
        <v>543</v>
      </c>
    </row>
    <row r="407" spans="1:1">
      <c r="A407" s="12" t="s">
        <v>544</v>
      </c>
    </row>
    <row r="408" spans="1:1">
      <c r="A408" s="12" t="s">
        <v>545</v>
      </c>
    </row>
    <row r="409" spans="1:1">
      <c r="A409" s="12" t="s">
        <v>546</v>
      </c>
    </row>
    <row r="410" spans="1:1">
      <c r="A410" s="12" t="s">
        <v>547</v>
      </c>
    </row>
    <row r="411" spans="1:1">
      <c r="A411" s="12" t="s">
        <v>548</v>
      </c>
    </row>
    <row r="412" spans="1:1">
      <c r="A412" s="12" t="s">
        <v>549</v>
      </c>
    </row>
    <row r="413" spans="1:1">
      <c r="A413" s="12" t="s">
        <v>550</v>
      </c>
    </row>
    <row r="414" spans="1:1">
      <c r="A414" s="12" t="s">
        <v>551</v>
      </c>
    </row>
    <row r="415" spans="1:1">
      <c r="A415" s="12" t="s">
        <v>552</v>
      </c>
    </row>
    <row r="416" spans="1:1">
      <c r="A416" s="12" t="s">
        <v>553</v>
      </c>
    </row>
    <row r="417" spans="1:13">
      <c r="A417" s="12" t="s">
        <v>554</v>
      </c>
    </row>
    <row r="418" spans="1:13">
      <c r="A418" s="12" t="s">
        <v>555</v>
      </c>
    </row>
    <row r="419" spans="1:13">
      <c r="A419" s="12" t="s">
        <v>556</v>
      </c>
    </row>
    <row r="420" spans="1:13">
      <c r="A420" s="12" t="s">
        <v>557</v>
      </c>
    </row>
    <row r="421" spans="1:13">
      <c r="A421" s="12" t="s">
        <v>558</v>
      </c>
    </row>
    <row r="422" spans="1:13">
      <c r="A422" s="12" t="s">
        <v>559</v>
      </c>
    </row>
    <row r="423" spans="1:13">
      <c r="A423" s="12" t="s">
        <v>560</v>
      </c>
    </row>
    <row r="424" spans="1:13">
      <c r="A424" s="12" t="s">
        <v>561</v>
      </c>
    </row>
    <row r="425" spans="1:13">
      <c r="A425" s="12" t="s">
        <v>562</v>
      </c>
    </row>
    <row r="426" spans="1:13">
      <c r="A426" s="21" t="s">
        <v>125</v>
      </c>
      <c r="B426" s="21" t="s">
        <v>126</v>
      </c>
      <c r="C426" s="21" t="s">
        <v>126</v>
      </c>
      <c r="D426" s="21" t="s">
        <v>126</v>
      </c>
      <c r="E426" s="21" t="s">
        <v>126</v>
      </c>
      <c r="F426" s="21" t="s">
        <v>126</v>
      </c>
      <c r="G426" s="21" t="s">
        <v>126</v>
      </c>
      <c r="H426" s="21" t="s">
        <v>126</v>
      </c>
      <c r="I426" s="21" t="s">
        <v>126</v>
      </c>
      <c r="J426" s="21" t="s">
        <v>126</v>
      </c>
      <c r="K426" s="21" t="s">
        <v>126</v>
      </c>
      <c r="L426" s="21" t="s">
        <v>126</v>
      </c>
    </row>
    <row r="427" spans="1:13" ht="56">
      <c r="A427" s="21" t="s">
        <v>129</v>
      </c>
      <c r="B427" s="21" t="s">
        <v>563</v>
      </c>
      <c r="C427" s="21" t="s">
        <v>564</v>
      </c>
      <c r="D427" s="21" t="s">
        <v>565</v>
      </c>
      <c r="E427" s="21" t="s">
        <v>566</v>
      </c>
      <c r="F427" s="21" t="s">
        <v>567</v>
      </c>
      <c r="G427" s="21" t="s">
        <v>568</v>
      </c>
      <c r="H427" s="21" t="s">
        <v>569</v>
      </c>
      <c r="I427" s="21" t="s">
        <v>570</v>
      </c>
      <c r="J427" s="21" t="s">
        <v>571</v>
      </c>
      <c r="K427" s="21" t="s">
        <v>572</v>
      </c>
      <c r="L427" s="21" t="s">
        <v>573</v>
      </c>
    </row>
    <row r="429" spans="1:13" ht="56">
      <c r="B429" s="3" t="s">
        <v>574</v>
      </c>
      <c r="C429" s="3" t="s">
        <v>575</v>
      </c>
      <c r="D429" s="3" t="s">
        <v>576</v>
      </c>
      <c r="E429" s="3" t="s">
        <v>577</v>
      </c>
      <c r="F429" s="3" t="s">
        <v>578</v>
      </c>
      <c r="G429" s="3" t="s">
        <v>579</v>
      </c>
      <c r="H429" s="3" t="s">
        <v>580</v>
      </c>
      <c r="I429" s="3" t="s">
        <v>581</v>
      </c>
      <c r="J429" s="3" t="s">
        <v>582</v>
      </c>
      <c r="K429" s="3" t="s">
        <v>583</v>
      </c>
      <c r="L429" s="3" t="s">
        <v>584</v>
      </c>
    </row>
    <row r="430" spans="1:13">
      <c r="A430" s="11" t="s">
        <v>585</v>
      </c>
      <c r="B430" s="22">
        <f>J386*(C386+D386)</f>
        <v>635642.94971885369</v>
      </c>
      <c r="C430" s="22">
        <f>K386*(C386+D386)</f>
        <v>666114.82147810713</v>
      </c>
      <c r="D430" s="22">
        <f>IF(B33,0,'11'!B62)+SUMPRODUCT($L$71:$L$73,$B$71:$B$73)</f>
        <v>476950</v>
      </c>
      <c r="E430" s="22">
        <f>IF(B33,0,'11'!C62)+SUMPRODUCT($J$71:$J$73,$B$71:$B$73)</f>
        <v>170600</v>
      </c>
      <c r="F430" s="22">
        <f>IF(B33,0,'11'!D62)+SUMPRODUCT($K$71:$K$73,$B$71:$B$73)</f>
        <v>276750</v>
      </c>
      <c r="G430" s="25">
        <f>('11'!C17*(1-E430/D430)+('11'!J17*F430/(F430+'11'!M17)+'11'!K17*E430/(E430+'11'!L17))/D430)*100/'11'!B17</f>
        <v>7.9516660838114261E-2</v>
      </c>
      <c r="H430" s="22">
        <f>IF(B33,0,'11'!E57)+(SUMPRODUCT($B$71:$B$73,$D$346:$D$348,$D$71:$D$73)+SUMPRODUCT($B$71:$B$73,$C$346:$C$348,'935'!$P$7:$P$9,'935'!$C$7:$C$9,$E$346:$E$348)/'11'!B17)*'11'!B17/100</f>
        <v>1067400.8349500101</v>
      </c>
      <c r="I430" s="22">
        <f>IF(B33,0,'11'!C57)+SUMPRODUCT($B$71:$B$73,$G$346:$G$348,$D$71:$D$73)</f>
        <v>674540.65491252299</v>
      </c>
      <c r="J430" s="6">
        <f>IF(M386,M386/I430,0)</f>
        <v>3.821264857489671</v>
      </c>
      <c r="K430" s="22">
        <f>IF(B33,0,'11'!D57)+SUMPRODUCT($B$71:$B$73,$F$346:$F$348)</f>
        <v>674540.65491252602</v>
      </c>
      <c r="L430" s="22">
        <f>IF(B33,0,'11'!F67)+SUMPRODUCT($B$71:$B$73,$H$346:$H$348)</f>
        <v>101305496.08757401</v>
      </c>
      <c r="M430" s="10"/>
    </row>
    <row r="432" spans="1:13" ht="21" customHeight="1">
      <c r="A432" s="1" t="s">
        <v>586</v>
      </c>
    </row>
    <row r="433" spans="1:1">
      <c r="A433" s="2" t="s">
        <v>112</v>
      </c>
    </row>
    <row r="434" spans="1:1">
      <c r="A434" s="12" t="s">
        <v>587</v>
      </c>
    </row>
    <row r="435" spans="1:1">
      <c r="A435" s="12" t="s">
        <v>588</v>
      </c>
    </row>
    <row r="436" spans="1:1">
      <c r="A436" s="12" t="s">
        <v>589</v>
      </c>
    </row>
    <row r="437" spans="1:1">
      <c r="A437" s="12" t="s">
        <v>590</v>
      </c>
    </row>
    <row r="438" spans="1:1">
      <c r="A438" s="12" t="s">
        <v>591</v>
      </c>
    </row>
    <row r="439" spans="1:1">
      <c r="A439" s="12" t="s">
        <v>592</v>
      </c>
    </row>
    <row r="440" spans="1:1">
      <c r="A440" s="12" t="s">
        <v>593</v>
      </c>
    </row>
    <row r="441" spans="1:1">
      <c r="A441" s="12" t="s">
        <v>594</v>
      </c>
    </row>
    <row r="442" spans="1:1">
      <c r="A442" s="12" t="s">
        <v>225</v>
      </c>
    </row>
    <row r="443" spans="1:1">
      <c r="A443" s="12" t="s">
        <v>595</v>
      </c>
    </row>
    <row r="444" spans="1:1">
      <c r="A444" s="12" t="s">
        <v>596</v>
      </c>
    </row>
    <row r="445" spans="1:1">
      <c r="A445" s="12" t="s">
        <v>597</v>
      </c>
    </row>
    <row r="446" spans="1:1">
      <c r="A446" s="12" t="s">
        <v>598</v>
      </c>
    </row>
    <row r="447" spans="1:1">
      <c r="A447" s="12" t="s">
        <v>599</v>
      </c>
    </row>
    <row r="448" spans="1:1">
      <c r="A448" s="12" t="s">
        <v>600</v>
      </c>
    </row>
    <row r="449" spans="1:14">
      <c r="A449" s="12" t="s">
        <v>601</v>
      </c>
    </row>
    <row r="450" spans="1:14">
      <c r="A450" s="12" t="s">
        <v>487</v>
      </c>
    </row>
    <row r="451" spans="1:14">
      <c r="A451" s="12" t="s">
        <v>602</v>
      </c>
    </row>
    <row r="452" spans="1:14">
      <c r="A452" s="12" t="s">
        <v>603</v>
      </c>
    </row>
    <row r="453" spans="1:14">
      <c r="A453" s="12" t="s">
        <v>604</v>
      </c>
    </row>
    <row r="454" spans="1:14">
      <c r="A454" s="12" t="s">
        <v>605</v>
      </c>
    </row>
    <row r="455" spans="1:14">
      <c r="A455" s="12" t="s">
        <v>606</v>
      </c>
    </row>
    <row r="456" spans="1:14">
      <c r="A456" s="21" t="s">
        <v>125</v>
      </c>
      <c r="B456" s="21" t="s">
        <v>126</v>
      </c>
      <c r="C456" s="21" t="s">
        <v>126</v>
      </c>
      <c r="D456" s="21" t="s">
        <v>126</v>
      </c>
      <c r="E456" s="21" t="s">
        <v>126</v>
      </c>
      <c r="F456" s="21" t="s">
        <v>126</v>
      </c>
      <c r="G456" s="21" t="s">
        <v>126</v>
      </c>
      <c r="H456" s="21" t="s">
        <v>126</v>
      </c>
      <c r="I456" s="21" t="s">
        <v>126</v>
      </c>
      <c r="J456" s="21" t="s">
        <v>126</v>
      </c>
      <c r="K456" s="21" t="s">
        <v>126</v>
      </c>
      <c r="L456" s="21" t="s">
        <v>126</v>
      </c>
      <c r="M456" s="21" t="s">
        <v>126</v>
      </c>
    </row>
    <row r="457" spans="1:14" ht="28">
      <c r="A457" s="21" t="s">
        <v>129</v>
      </c>
      <c r="B457" s="21" t="s">
        <v>607</v>
      </c>
      <c r="C457" s="21" t="s">
        <v>608</v>
      </c>
      <c r="D457" s="21" t="s">
        <v>609</v>
      </c>
      <c r="E457" s="21" t="s">
        <v>610</v>
      </c>
      <c r="F457" s="21" t="s">
        <v>611</v>
      </c>
      <c r="G457" s="21" t="s">
        <v>612</v>
      </c>
      <c r="H457" s="21" t="s">
        <v>613</v>
      </c>
      <c r="I457" s="21" t="s">
        <v>614</v>
      </c>
      <c r="J457" s="21" t="s">
        <v>615</v>
      </c>
      <c r="K457" s="21" t="s">
        <v>616</v>
      </c>
      <c r="L457" s="21" t="s">
        <v>507</v>
      </c>
      <c r="M457" s="21" t="s">
        <v>617</v>
      </c>
    </row>
    <row r="459" spans="1:14" ht="56">
      <c r="B459" s="3" t="s">
        <v>618</v>
      </c>
      <c r="C459" s="3" t="s">
        <v>619</v>
      </c>
      <c r="D459" s="3" t="s">
        <v>620</v>
      </c>
      <c r="E459" s="3" t="s">
        <v>621</v>
      </c>
      <c r="F459" s="3" t="s">
        <v>622</v>
      </c>
      <c r="G459" s="3" t="s">
        <v>623</v>
      </c>
      <c r="H459" s="3" t="s">
        <v>624</v>
      </c>
      <c r="I459" s="3" t="s">
        <v>625</v>
      </c>
      <c r="J459" s="3" t="s">
        <v>626</v>
      </c>
      <c r="K459" s="3" t="s">
        <v>627</v>
      </c>
      <c r="L459" s="3" t="s">
        <v>628</v>
      </c>
      <c r="M459" s="3" t="s">
        <v>629</v>
      </c>
    </row>
    <row r="460" spans="1:14">
      <c r="A460" s="19">
        <v>1</v>
      </c>
      <c r="B460" s="25">
        <f>IF(C71,(100/'11'!B$17*C126*(J$386+K$386)),0)</f>
        <v>33.760715617703603</v>
      </c>
      <c r="C460" s="25">
        <f>100/'11'!B$17*F126*(J$386+K$386)</f>
        <v>0</v>
      </c>
      <c r="D460" s="25">
        <f>100/'11'!B$17*D126*(J$386+K$386)</f>
        <v>0</v>
      </c>
      <c r="E460" s="25">
        <f>ROUND(D460,2)</f>
        <v>0</v>
      </c>
      <c r="F460" s="25">
        <f>IF(L71,-100*I$386/'11'!B$17*G71/L71,0)</f>
        <v>0</v>
      </c>
      <c r="G460" s="25">
        <f>IF(F71,G$430,0)</f>
        <v>0</v>
      </c>
      <c r="H460" s="25">
        <f>ROUND(G460,2)</f>
        <v>0</v>
      </c>
      <c r="I460" s="25">
        <f>IF(F71,(G460+F460),0)</f>
        <v>0</v>
      </c>
      <c r="J460" s="25">
        <f>ROUND(I460,2)</f>
        <v>0</v>
      </c>
      <c r="K460" s="25">
        <f>100/'11'!B$17*I$386*I126</f>
        <v>1.254907635379567</v>
      </c>
      <c r="L460" s="25">
        <f>K460+D346</f>
        <v>1.254907635379567</v>
      </c>
      <c r="M460" s="6">
        <f>L460+J$430*G346*100/'11'!B$17</f>
        <v>2.7205982656495777</v>
      </c>
      <c r="N460" s="10"/>
    </row>
    <row r="461" spans="1:14">
      <c r="A461" s="19">
        <v>2</v>
      </c>
      <c r="B461" s="25">
        <f>IF(C72,(100/'11'!B$17*C127*(J$386+K$386)),0)</f>
        <v>33.760715617703603</v>
      </c>
      <c r="C461" s="25">
        <f>100/'11'!B$17*F127*(J$386+K$386)</f>
        <v>0</v>
      </c>
      <c r="D461" s="25">
        <f>100/'11'!B$17*D127*(J$386+K$386)</f>
        <v>0</v>
      </c>
      <c r="E461" s="25">
        <f>ROUND(D461,2)</f>
        <v>0</v>
      </c>
      <c r="F461" s="25">
        <f>IF(L72,-100*I$386/'11'!B$17*G72/L72,0)</f>
        <v>0</v>
      </c>
      <c r="G461" s="25">
        <f>IF(F72,G$430,0)</f>
        <v>0</v>
      </c>
      <c r="H461" s="25">
        <f>ROUND(G461,2)</f>
        <v>0</v>
      </c>
      <c r="I461" s="25">
        <f>IF(F72,(G461+F461),0)</f>
        <v>0</v>
      </c>
      <c r="J461" s="25">
        <f>ROUND(I461,2)</f>
        <v>0</v>
      </c>
      <c r="K461" s="25">
        <f>100/'11'!B$17*I$386*I127</f>
        <v>1.3943418170884077E-2</v>
      </c>
      <c r="L461" s="25">
        <f>K461+D347</f>
        <v>1.3943418170884077E-2</v>
      </c>
      <c r="M461" s="6">
        <f>L461+J$430*G347*100/'11'!B$17</f>
        <v>0.5478735763406738</v>
      </c>
      <c r="N461" s="10"/>
    </row>
    <row r="462" spans="1:14">
      <c r="A462" s="19">
        <v>3</v>
      </c>
      <c r="B462" s="25">
        <f>IF(C73,(100/'11'!B$17*C128*(J$386+K$386)),0)</f>
        <v>16.090653633524514</v>
      </c>
      <c r="C462" s="25">
        <f>100/'11'!B$17*F128*(J$386+K$386)</f>
        <v>32.181307267049029</v>
      </c>
      <c r="D462" s="25">
        <f>100/'11'!B$17*D128*(J$386+K$386)</f>
        <v>32.181307267049029</v>
      </c>
      <c r="E462" s="25">
        <f>ROUND(D462,2)</f>
        <v>32.18</v>
      </c>
      <c r="F462" s="25">
        <f>IF(L73,-100*I$386/'11'!B$17*G73/L73,0)</f>
        <v>0</v>
      </c>
      <c r="G462" s="25">
        <f>IF(F73,G$430,0)</f>
        <v>7.9516660838114261E-2</v>
      </c>
      <c r="H462" s="25">
        <f>ROUND(G462,2)</f>
        <v>0.08</v>
      </c>
      <c r="I462" s="25">
        <f>IF(F73,(G462+F462),0)</f>
        <v>7.9516660838114261E-2</v>
      </c>
      <c r="J462" s="25">
        <f>ROUND(I462,2)</f>
        <v>0.08</v>
      </c>
      <c r="K462" s="25">
        <f>100/'11'!B$17*I$386*I128</f>
        <v>0.13943418170884078</v>
      </c>
      <c r="L462" s="25">
        <f>K462+D348</f>
        <v>0.13943418170884078</v>
      </c>
      <c r="M462" s="6">
        <f>L462+J$430*G348*100/'11'!B$17</f>
        <v>0.76758730896741689</v>
      </c>
      <c r="N462" s="10"/>
    </row>
    <row r="464" spans="1:14" ht="21" customHeight="1">
      <c r="A464" s="1" t="s">
        <v>630</v>
      </c>
    </row>
    <row r="465" spans="1:1">
      <c r="A465" s="2" t="s">
        <v>112</v>
      </c>
    </row>
    <row r="466" spans="1:1">
      <c r="A466" s="12" t="s">
        <v>631</v>
      </c>
    </row>
    <row r="467" spans="1:1">
      <c r="A467" s="12" t="s">
        <v>472</v>
      </c>
    </row>
    <row r="468" spans="1:1">
      <c r="A468" s="12" t="s">
        <v>632</v>
      </c>
    </row>
    <row r="469" spans="1:1">
      <c r="A469" s="12" t="s">
        <v>633</v>
      </c>
    </row>
    <row r="470" spans="1:1">
      <c r="A470" s="12" t="s">
        <v>634</v>
      </c>
    </row>
    <row r="471" spans="1:1">
      <c r="A471" s="12" t="s">
        <v>635</v>
      </c>
    </row>
    <row r="472" spans="1:1">
      <c r="A472" s="12" t="s">
        <v>533</v>
      </c>
    </row>
    <row r="473" spans="1:1">
      <c r="A473" s="12" t="s">
        <v>449</v>
      </c>
    </row>
    <row r="474" spans="1:1">
      <c r="A474" s="12" t="s">
        <v>636</v>
      </c>
    </row>
    <row r="475" spans="1:1">
      <c r="A475" s="12" t="s">
        <v>595</v>
      </c>
    </row>
    <row r="476" spans="1:1">
      <c r="A476" s="12" t="s">
        <v>637</v>
      </c>
    </row>
    <row r="477" spans="1:1">
      <c r="A477" s="12" t="s">
        <v>638</v>
      </c>
    </row>
    <row r="478" spans="1:1">
      <c r="A478" s="12" t="s">
        <v>639</v>
      </c>
    </row>
    <row r="479" spans="1:1">
      <c r="A479" s="12" t="s">
        <v>640</v>
      </c>
    </row>
    <row r="480" spans="1:1">
      <c r="A480" s="12" t="s">
        <v>641</v>
      </c>
    </row>
    <row r="481" spans="1:1">
      <c r="A481" s="12" t="s">
        <v>642</v>
      </c>
    </row>
    <row r="482" spans="1:1">
      <c r="A482" s="12" t="s">
        <v>643</v>
      </c>
    </row>
    <row r="483" spans="1:1">
      <c r="A483" s="12" t="s">
        <v>644</v>
      </c>
    </row>
    <row r="484" spans="1:1">
      <c r="A484" s="12" t="s">
        <v>645</v>
      </c>
    </row>
    <row r="485" spans="1:1">
      <c r="A485" s="12" t="s">
        <v>646</v>
      </c>
    </row>
    <row r="486" spans="1:1">
      <c r="A486" s="12" t="s">
        <v>647</v>
      </c>
    </row>
    <row r="487" spans="1:1">
      <c r="A487" s="12" t="s">
        <v>648</v>
      </c>
    </row>
    <row r="488" spans="1:1">
      <c r="A488" s="12" t="s">
        <v>649</v>
      </c>
    </row>
    <row r="489" spans="1:1">
      <c r="A489" s="12" t="s">
        <v>650</v>
      </c>
    </row>
    <row r="490" spans="1:1">
      <c r="A490" s="12" t="s">
        <v>651</v>
      </c>
    </row>
    <row r="491" spans="1:1">
      <c r="A491" s="12" t="s">
        <v>652</v>
      </c>
    </row>
    <row r="492" spans="1:1">
      <c r="A492" s="12" t="s">
        <v>653</v>
      </c>
    </row>
    <row r="493" spans="1:1">
      <c r="A493" s="12" t="s">
        <v>654</v>
      </c>
    </row>
    <row r="494" spans="1:1">
      <c r="A494" s="12" t="s">
        <v>655</v>
      </c>
    </row>
    <row r="495" spans="1:1">
      <c r="A495" s="12" t="s">
        <v>656</v>
      </c>
    </row>
    <row r="496" spans="1:1">
      <c r="A496" s="12" t="s">
        <v>657</v>
      </c>
    </row>
    <row r="497" spans="1:9">
      <c r="A497" s="12" t="s">
        <v>658</v>
      </c>
    </row>
    <row r="498" spans="1:9">
      <c r="A498" s="12" t="s">
        <v>659</v>
      </c>
    </row>
    <row r="499" spans="1:9">
      <c r="A499" s="12" t="s">
        <v>660</v>
      </c>
    </row>
    <row r="500" spans="1:9">
      <c r="A500" s="12" t="s">
        <v>661</v>
      </c>
    </row>
    <row r="501" spans="1:9">
      <c r="A501" s="21" t="s">
        <v>125</v>
      </c>
      <c r="B501" s="21" t="s">
        <v>126</v>
      </c>
      <c r="C501" s="21" t="s">
        <v>126</v>
      </c>
      <c r="D501" s="21" t="s">
        <v>126</v>
      </c>
      <c r="E501" s="21" t="s">
        <v>126</v>
      </c>
      <c r="F501" s="21" t="s">
        <v>126</v>
      </c>
      <c r="G501" s="21" t="s">
        <v>126</v>
      </c>
      <c r="H501" s="21" t="s">
        <v>126</v>
      </c>
    </row>
    <row r="502" spans="1:9" ht="70">
      <c r="A502" s="21" t="s">
        <v>129</v>
      </c>
      <c r="B502" s="21" t="s">
        <v>662</v>
      </c>
      <c r="C502" s="21" t="s">
        <v>663</v>
      </c>
      <c r="D502" s="21" t="s">
        <v>664</v>
      </c>
      <c r="E502" s="21" t="s">
        <v>665</v>
      </c>
      <c r="F502" s="21" t="s">
        <v>666</v>
      </c>
      <c r="G502" s="21" t="s">
        <v>667</v>
      </c>
      <c r="H502" s="21" t="s">
        <v>668</v>
      </c>
    </row>
    <row r="504" spans="1:9" ht="42">
      <c r="B504" s="3" t="s">
        <v>669</v>
      </c>
      <c r="C504" s="3" t="s">
        <v>670</v>
      </c>
      <c r="D504" s="3" t="s">
        <v>671</v>
      </c>
      <c r="E504" s="3" t="s">
        <v>672</v>
      </c>
      <c r="F504" s="3" t="s">
        <v>673</v>
      </c>
      <c r="G504" s="3" t="s">
        <v>674</v>
      </c>
      <c r="H504" s="3" t="s">
        <v>675</v>
      </c>
    </row>
    <row r="505" spans="1:9">
      <c r="A505" s="11" t="s">
        <v>676</v>
      </c>
      <c r="B505" s="22">
        <f>IF(B33,0,'11'!E62)+SUMPRODUCT($B$71:$B$73,$G$322:$G$324,'935'!$T$7:$T$9)/100+SUMPRODUCT($B$71:$B$73,$J$460:$J$462,$L$71:$L$73)*'11'!B17/100+SUMPRODUCT($B$71:$B$73,$C$460:$C$462)*'11'!B17/100</f>
        <v>-153982.458365812</v>
      </c>
      <c r="C505" s="22">
        <f>I386*G386+(B386+C386+D386)*(J386+K386+L386)+(C386+D386)*('11'!E17-'11'!G17-'11'!H17-'11'!I17-B505)/(C33+D33+C386+D386)</f>
        <v>13691862.554957112</v>
      </c>
      <c r="D505" s="22">
        <f>C505-J386*B386-K386*B386-I386*G386-H430</f>
        <v>11030532.709709208</v>
      </c>
      <c r="E505" s="22">
        <f>D505-M386-B430-C430</f>
        <v>7151176.4389469558</v>
      </c>
      <c r="F505" s="6">
        <f>IF(E505,E100*E505/K430,0)</f>
        <v>2.1203099878017926</v>
      </c>
      <c r="G505" s="22">
        <f>(1-E100)*(D505-M386-B430-C430)+B430+C430</f>
        <v>7022698.9223545259</v>
      </c>
      <c r="H505" s="26">
        <f>IF(G505,G505/L430,0)</f>
        <v>6.9321993313015529E-2</v>
      </c>
      <c r="I505" s="10"/>
    </row>
    <row r="507" spans="1:9" ht="21" customHeight="1">
      <c r="A507" s="1" t="s">
        <v>677</v>
      </c>
    </row>
    <row r="508" spans="1:9">
      <c r="A508" s="2" t="s">
        <v>112</v>
      </c>
    </row>
    <row r="509" spans="1:9">
      <c r="A509" s="12" t="s">
        <v>678</v>
      </c>
    </row>
    <row r="510" spans="1:9">
      <c r="A510" s="12" t="s">
        <v>679</v>
      </c>
    </row>
    <row r="511" spans="1:9">
      <c r="A511" s="12" t="s">
        <v>680</v>
      </c>
    </row>
    <row r="512" spans="1:9">
      <c r="A512" s="12" t="s">
        <v>681</v>
      </c>
    </row>
    <row r="513" spans="1:1">
      <c r="A513" s="12" t="s">
        <v>161</v>
      </c>
    </row>
    <row r="514" spans="1:1">
      <c r="A514" s="12" t="s">
        <v>682</v>
      </c>
    </row>
    <row r="515" spans="1:1">
      <c r="A515" s="12" t="s">
        <v>683</v>
      </c>
    </row>
    <row r="516" spans="1:1">
      <c r="A516" s="12" t="s">
        <v>684</v>
      </c>
    </row>
    <row r="517" spans="1:1">
      <c r="A517" s="12" t="s">
        <v>685</v>
      </c>
    </row>
    <row r="518" spans="1:1">
      <c r="A518" s="12" t="s">
        <v>686</v>
      </c>
    </row>
    <row r="519" spans="1:1">
      <c r="A519" s="12" t="s">
        <v>687</v>
      </c>
    </row>
    <row r="520" spans="1:1">
      <c r="A520" s="12" t="s">
        <v>688</v>
      </c>
    </row>
    <row r="521" spans="1:1">
      <c r="A521" s="12" t="s">
        <v>689</v>
      </c>
    </row>
    <row r="522" spans="1:1">
      <c r="A522" s="12" t="s">
        <v>690</v>
      </c>
    </row>
    <row r="523" spans="1:1">
      <c r="A523" s="12" t="s">
        <v>691</v>
      </c>
    </row>
    <row r="524" spans="1:1">
      <c r="A524" s="12" t="s">
        <v>692</v>
      </c>
    </row>
    <row r="525" spans="1:1">
      <c r="A525" s="12" t="s">
        <v>693</v>
      </c>
    </row>
    <row r="526" spans="1:1">
      <c r="A526" s="12" t="s">
        <v>694</v>
      </c>
    </row>
    <row r="527" spans="1:1">
      <c r="A527" s="12" t="s">
        <v>695</v>
      </c>
    </row>
    <row r="528" spans="1:1">
      <c r="A528" s="12" t="s">
        <v>696</v>
      </c>
    </row>
    <row r="529" spans="1:8">
      <c r="A529" s="21" t="s">
        <v>125</v>
      </c>
      <c r="B529" s="21" t="s">
        <v>126</v>
      </c>
      <c r="C529" s="21" t="s">
        <v>126</v>
      </c>
      <c r="D529" s="21" t="s">
        <v>126</v>
      </c>
      <c r="E529" s="21" t="s">
        <v>126</v>
      </c>
      <c r="F529" s="21" t="s">
        <v>126</v>
      </c>
      <c r="G529" s="21" t="s">
        <v>126</v>
      </c>
    </row>
    <row r="530" spans="1:8" ht="42">
      <c r="A530" s="21" t="s">
        <v>129</v>
      </c>
      <c r="B530" s="21" t="s">
        <v>697</v>
      </c>
      <c r="C530" s="21" t="s">
        <v>698</v>
      </c>
      <c r="D530" s="21" t="s">
        <v>699</v>
      </c>
      <c r="E530" s="21" t="s">
        <v>700</v>
      </c>
      <c r="F530" s="21" t="s">
        <v>701</v>
      </c>
      <c r="G530" s="21" t="s">
        <v>702</v>
      </c>
    </row>
    <row r="532" spans="1:8" ht="42">
      <c r="B532" s="3" t="s">
        <v>703</v>
      </c>
      <c r="C532" s="3" t="s">
        <v>704</v>
      </c>
      <c r="D532" s="3" t="s">
        <v>705</v>
      </c>
      <c r="E532" s="3" t="s">
        <v>438</v>
      </c>
      <c r="F532" s="3" t="s">
        <v>437</v>
      </c>
      <c r="G532" s="3" t="s">
        <v>706</v>
      </c>
    </row>
    <row r="533" spans="1:8">
      <c r="A533" s="19">
        <v>1</v>
      </c>
      <c r="B533" s="6">
        <f>M460+F$505*(D$100+B126)*100/'11'!B$17</f>
        <v>3.5338678500119092</v>
      </c>
      <c r="C533" s="6">
        <f>H$505*(G178+M178)*100/'11'!B$17</f>
        <v>8.7544605768836874</v>
      </c>
      <c r="D533" s="25">
        <f>MAX(0-(D322*B126*'11'!D$17/'11'!B$17),B533+C533)</f>
        <v>12.288328426895596</v>
      </c>
      <c r="E533" s="6">
        <f>IF(C71,IF(B126=0,C346,MAX(0,MIN(C346,C346+(D533/'935'!P7*('11'!B$17-'935'!W7)/('11'!D$17-'935'!X7))))),0)</f>
        <v>0</v>
      </c>
      <c r="F533" s="25">
        <f>IF(C71,MAX(0,D533),0)</f>
        <v>12.288328426895596</v>
      </c>
      <c r="G533" s="25">
        <f>F533+B346</f>
        <v>12.288328426895596</v>
      </c>
      <c r="H533" s="10"/>
    </row>
    <row r="534" spans="1:8">
      <c r="A534" s="19">
        <v>2</v>
      </c>
      <c r="B534" s="6">
        <f>M461+F$505*(D$100+B127)*100/'11'!B$17</f>
        <v>0.8441360677869516</v>
      </c>
      <c r="C534" s="6">
        <f>H$505*(G179+M179)*100/'11'!B$17</f>
        <v>1.5081873314566496</v>
      </c>
      <c r="D534" s="25">
        <f>MAX(0-(D323*B127*'11'!D$17/'11'!B$17),B534+C534)</f>
        <v>2.352323399243601</v>
      </c>
      <c r="E534" s="6">
        <f>IF(C72,IF(B127=0,C347,MAX(0,MIN(C347,C347+(D534/'935'!P8*('11'!B$17-'935'!W8)/('11'!D$17-'935'!X8))))),0)</f>
        <v>0</v>
      </c>
      <c r="F534" s="25">
        <f>IF(C72,MAX(0,D534),0)</f>
        <v>2.352323399243601</v>
      </c>
      <c r="G534" s="25">
        <f>F534+B347</f>
        <v>2.352323399243601</v>
      </c>
      <c r="H534" s="10"/>
    </row>
    <row r="535" spans="1:8">
      <c r="A535" s="19">
        <v>3</v>
      </c>
      <c r="B535" s="6">
        <f>M462+F$505*(D$100+B128)*100/'11'!B$17</f>
        <v>1.1161314165512732</v>
      </c>
      <c r="C535" s="6">
        <f>H$505*(G180+M180)*100/'11'!B$17</f>
        <v>1.1635236669259401</v>
      </c>
      <c r="D535" s="25">
        <f>MAX(0-(D324*B128*'11'!D$17/'11'!B$17),B535+C535)</f>
        <v>2.2796550834772136</v>
      </c>
      <c r="E535" s="6">
        <f>IF(C73,IF(B128=0,C348,MAX(0,MIN(C348,C348+(D535/'935'!P9*('11'!B$17-'935'!W9)/('11'!D$17-'935'!X9))))),0)</f>
        <v>0</v>
      </c>
      <c r="F535" s="25">
        <f>IF(C73,MAX(0,D535),0)</f>
        <v>2.2796550834772136</v>
      </c>
      <c r="G535" s="25">
        <f>F535+B348</f>
        <v>2.2796550834772136</v>
      </c>
      <c r="H535" s="10"/>
    </row>
  </sheetData>
  <sheetProtection sheet="1" objects="1" scenarios="1"/>
  <dataValidations count="2">
    <dataValidation type="decimal" allowBlank="1" showInputMessage="1" showErrorMessage="1" sqref="B100">
      <formula1>0</formula1>
      <formula2>1</formula2>
    </dataValidation>
    <dataValidation type="decimal" allowBlank="1" showInputMessage="1" showErrorMessage="1" sqref="C100">
      <formula1>0.001</formula1>
      <formula2>1</formula2>
    </dataValidation>
  </dataValidations>
  <hyperlinks>
    <hyperlink ref="A23" location="'11'!B51" display="x1 = 1190. Is this the master model containing all the tariff data?"/>
    <hyperlink ref="A24" location="'Calc'!B6" display="x2 = 4002. EHV asset levels"/>
    <hyperlink ref="A25" location="'11'!B26" display="x3 = 1131. Assets in CDCM model (£) (from CDCM table 2705 or 2706)"/>
    <hyperlink ref="A26" location="'Calc'!B12" display="x4 = 4004. HV and LV network asset levels"/>
    <hyperlink ref="A27" location="'Calc'!B18" display="x5 = 4006. HV and LV service asset levels"/>
    <hyperlink ref="A28" location="'11'!B21" display="x6 = 1122. Forecast system simultaneous maximum load (kW) from CDCM users (from CDCM table 2506)"/>
    <hyperlink ref="A37" location="'11'!B21" display="x1 = 1122. Forecast system simultaneous maximum load (kW) from CDCM users (from CDCM table 2506)"/>
    <hyperlink ref="A38" location="'11'!B26" display="x2 = 1131. Assets in CDCM model (£) (from CDCM table 2705 or 2706)"/>
    <hyperlink ref="A39" location="'11'!B46" display="x3 = 1135. Loss adjustment factor to transmission for each network level (from CDCM table 2004)"/>
    <hyperlink ref="A40" location="'11'!B31" display="x4 = 1132. Override notional asset rate for 132kV/HV (£/kW)"/>
    <hyperlink ref="A41" location="'Calc'!B47" display="x5 = Notional asset rate (£/kW)"/>
    <hyperlink ref="A42" location="'Calc'!H47" display="x6 = Notional asset rate for 132kV/HV (£/kW)"/>
    <hyperlink ref="A52" location="'Calc'!B32" display="x1 = 4008. Is this the master model?"/>
    <hyperlink ref="A53" location="'935'!B6" display="x2 = 935. Name (in Tariff data)"/>
    <hyperlink ref="A54" location="'935'!C6" display="x3 = 935. Maximum import capacity (kVA) (in Tariff data)"/>
    <hyperlink ref="A55" location="'935'!W6" display="x4 = 935. Days for which not a customer (in Tariff data)"/>
    <hyperlink ref="A56" location="'11'!B16" display="x5 = 1113. Days in year (in General inputs)"/>
    <hyperlink ref="A57" location="'Calc'!D70" display="x6 = Maximum import capacity adjusted for part-year (kVA)"/>
    <hyperlink ref="A58" location="'935'!S6" display="x7 = 935. Capacity subject to DSM (kVA) (in Tariff data)"/>
    <hyperlink ref="A59" location="'935'!E6" display="x8 = 935. Non-exempt pre-2005 export capacity (kVA) (in Tariff data)"/>
    <hyperlink ref="A60" location="'935'!F6" display="x9 = 935. Non-exempt 2005-2010 export capacity (kVA) (in Tariff data)"/>
    <hyperlink ref="A61" location="'935'!G6" display="x10 = 935. Non-exempt post-2010 export capacity (kVA) (in Tariff data)"/>
    <hyperlink ref="A62" location="'935'!U6" display="x11 = 935. Capacity eligible for GSP generation credits (kW) (in Tariff data)"/>
    <hyperlink ref="A63" location="'935'!D6" display="x12 = 935. Exempt export capacity (kVA) (in Tariff data)"/>
    <hyperlink ref="A64" location="'Calc'!I70" display="x13 = Non-exempt pre-2005 export capacity (kVA) adjusted for part-year"/>
    <hyperlink ref="A65" location="'Calc'!J70" display="x14 = Non-exempt 2005-2010 export capacity (kVA) adjusted for part-year"/>
    <hyperlink ref="A66" location="'Calc'!K70" display="x15 = Non-exempt post-2010 export capacity (kVA) adjusted for part-year"/>
    <hyperlink ref="A104" location="'935'!P6" display="x1 = 935. Super red kW import divided by kVA capacity (in Tariff data)"/>
    <hyperlink ref="A105" location="'935'!X6" display="x2 = 935. Hours in super-red for which not a customer (in Tariff data)"/>
    <hyperlink ref="A106" location="'11'!D16" display="x3 = 1113. Annual hours in super red (in General inputs)"/>
    <hyperlink ref="A107" location="'935'!W6" display="x4 = 935. Days for which not a customer (in Tariff data)"/>
    <hyperlink ref="A108" location="'11'!B16" display="x5 = 1113. Days in year (in General inputs)"/>
    <hyperlink ref="A109" location="'Calc'!D70" display="x6 = 4012. Maximum import capacity adjusted for part-year (kVA)"/>
    <hyperlink ref="A110" location="'935'!H6" display="x7 = 935. Sole use asset MEAV (£) (in Tariff data)"/>
    <hyperlink ref="A111" location="'Calc'!H70" display="x8 = 4012. Exempt export capacity (kVA) adjusted for part-year"/>
    <hyperlink ref="A112" location="'Calc'!L70" display="x9 = 4012. Chargeable export capacity adjusted for part-year (kVA)"/>
    <hyperlink ref="A113" location="'Calc'!C125" display="x10 = Sole use asset MEAV for demand (£)"/>
    <hyperlink ref="A114" location="'Calc'!D125" display="x11 = Sole use asset MEAV for non-exempt generation (£)"/>
    <hyperlink ref="A115" location="'935'!J6" display="x12 = 935. Customer category for demand scaling (in Tariff data)"/>
    <hyperlink ref="A116" location="'11'!B46" display="x13 = 1135. Loss adjustment factor to transmission for each network level (from CDCM table 2004)"/>
    <hyperlink ref="A117" location="'Calc'!B78" display="x14 = 4014. Mapping of customer category to loss factor (in Rules applicable to customer categories)"/>
    <hyperlink ref="A118" location="'Calc'!G125" display="x15 = Index of customer category"/>
    <hyperlink ref="A119" location="'Calc'!B125" display="x16 = Super red kW divided by kVA adjusted for part-year"/>
    <hyperlink ref="A120" location="'Calc'!H125" display="x17 = Loss factor to transmission"/>
    <hyperlink ref="A121" location="'Calc'!C99" display="x18 = 4016. Power factor in 500 MW model"/>
    <hyperlink ref="A132" location="'Calc'!C78" display="x1 = 4014. Treatment of network assets (1: capacity; 2+: consumption) (in Rules applicable to customer categories)"/>
    <hyperlink ref="A133" location="'Calc'!G125" display="x2 = 4018. Index of customer category"/>
    <hyperlink ref="A134" location="'935'!K6" display="x3 = 935. Network use factor (in Tariff data)"/>
    <hyperlink ref="A135" location="'Calc'!J125" display="x4 = 4018. Active power equivalent of capacity adjusted to transmission (kW/kVA)"/>
    <hyperlink ref="A136" location="'11'!B11" display="x5 = 1105. Diversity allowance between level exit and GSP Group (from CDCM table 2611)"/>
    <hyperlink ref="A137" location="'Calc'!B145" display="x6 = Adjusted network use by capacity"/>
    <hyperlink ref="A138" location="'Calc'!I47" display="x7 = 4010. Notional asset rate adjusted (£/kW)"/>
    <hyperlink ref="A139" location="'Calc'!I125" display="x8 = 4018. Peak-time active power consumption adjusted to transmission (kW/kVA)"/>
    <hyperlink ref="A140" location="'Calc'!H145" display="x9 = Adjusted network use by consumption"/>
    <hyperlink ref="A152" location="'11'!B41" display="x1 = 1134. Minimum network use factor"/>
    <hyperlink ref="A153" location="'935'!K6" display="x2 = 935. Network use factor (in Tariff data)"/>
    <hyperlink ref="A154" location="'11'!B36" display="x3 = 1133. Maximum network use factor"/>
    <hyperlink ref="A164" location="'Calc'!C78" display="x1 = 4014. Treatment of network assets (1: capacity; 2+: consumption) (in Rules applicable to customer categories)"/>
    <hyperlink ref="A165" location="'Calc'!G125" display="x2 = 4018. Index of customer category"/>
    <hyperlink ref="A166" location="'Calc'!B157" display="x3 = 4022. Network use factors (second set)"/>
    <hyperlink ref="A167" location="'Calc'!J125" display="x4 = 4018. Active power equivalent of capacity adjusted to transmission (kW/kVA)"/>
    <hyperlink ref="A168" location="'11'!B11" display="x5 = 1105. Diversity allowance between level exit and GSP Group (from CDCM table 2611)"/>
    <hyperlink ref="A169" location="'Calc'!B177" display="x6 = Second set of adjusted network use by capacity"/>
    <hyperlink ref="A170" location="'Calc'!I47" display="x7 = 4010. Notional asset rate adjusted (£/kW)"/>
    <hyperlink ref="A171" location="'Calc'!I125" display="x8 = 4018. Peak-time active power consumption adjusted to transmission (kW/kVA)"/>
    <hyperlink ref="A172" location="'Calc'!H177" display="x9 = Second set of adjusted network use by consumption"/>
    <hyperlink ref="A184" location="'935'!I6" display="x1 = 935. LRIC location (in Tariff data)"/>
    <hyperlink ref="A185" location="'913'!B5" display="x2 = 913. Location name/ID (in LRIC power flow modelling data)"/>
    <hyperlink ref="A186" location="'913'!D5" display="x3 = 913. Linked location (if any) (in LRIC power flow modelling data)"/>
    <hyperlink ref="A187" location="'Calc'!B197" display="x4 = Location"/>
    <hyperlink ref="A188" location="'Calc'!C197" display="x5 = Linked location 1"/>
    <hyperlink ref="A189" location="'Calc'!D197" display="x6 = Linked location 2"/>
    <hyperlink ref="A190" location="'Calc'!E197" display="x7 = Linked location 3"/>
    <hyperlink ref="A191" location="'Calc'!F197" display="x8 = Linked location 4"/>
    <hyperlink ref="A192" location="'Calc'!G197" display="x9 = Linked location 5"/>
    <hyperlink ref="A193" location="'Calc'!H197" display="x10 = Linked location 6"/>
    <hyperlink ref="A204" location="'Calc'!B197" display="x1 = 4026. Location"/>
    <hyperlink ref="A205" location="'913'!E5" display="x2 = 913. Local charge 1 £/kVA/year (in LRIC power flow modelling data)"/>
    <hyperlink ref="A206" location="'Calc'!C197" display="x3 = 4026. Linked location 1"/>
    <hyperlink ref="A207" location="'Calc'!D197" display="x4 = 4026. Linked location 2"/>
    <hyperlink ref="A208" location="'Calc'!E197" display="x5 = 4026. Linked location 3"/>
    <hyperlink ref="A209" location="'Calc'!F197" display="x6 = 4026. Linked location 4"/>
    <hyperlink ref="A210" location="'Calc'!G197" display="x7 = 4026. Linked location 5"/>
    <hyperlink ref="A211" location="'Calc'!H197" display="x8 = 4026. Linked location 6"/>
    <hyperlink ref="A212" location="'Calc'!I197" display="x9 = 4026. Linked location 7"/>
    <hyperlink ref="A223" location="'Calc'!B197" display="x1 = 4026. Location"/>
    <hyperlink ref="A224" location="'913'!F5" display="x2 = 913. Remote charge 1 £/kVA/year (in LRIC power flow modelling data)"/>
    <hyperlink ref="A225" location="'Calc'!C197" display="x3 = 4026. Linked location 1"/>
    <hyperlink ref="A226" location="'Calc'!D197" display="x4 = 4026. Linked location 2"/>
    <hyperlink ref="A227" location="'Calc'!E197" display="x5 = 4026. Linked location 3"/>
    <hyperlink ref="A228" location="'Calc'!F197" display="x6 = 4026. Linked location 4"/>
    <hyperlink ref="A229" location="'Calc'!G197" display="x7 = 4026. Linked location 5"/>
    <hyperlink ref="A230" location="'Calc'!H197" display="x8 = 4026. Linked location 6"/>
    <hyperlink ref="A231" location="'Calc'!I197" display="x9 = 4026. Linked location 7"/>
    <hyperlink ref="A242" location="'Calc'!B197" display="x1 = 4026. Location"/>
    <hyperlink ref="A243" location="'913'!I5" display="x2 = 913. Maximum demand run: kW (in LRIC power flow modelling data)"/>
    <hyperlink ref="A244" location="'913'!J5" display="x3 = 913. Maximum demand run: kVAr (in LRIC power flow modelling data)"/>
    <hyperlink ref="A245" location="'Calc'!C197" display="x4 = 4026. Linked location 1"/>
    <hyperlink ref="A246" location="'Calc'!D197" display="x5 = 4026. Linked location 2"/>
    <hyperlink ref="A247" location="'Calc'!E197" display="x6 = 4026. Linked location 3"/>
    <hyperlink ref="A248" location="'Calc'!F197" display="x7 = 4026. Linked location 4"/>
    <hyperlink ref="A249" location="'Calc'!G197" display="x8 = 4026. Linked location 5"/>
    <hyperlink ref="A250" location="'Calc'!H197" display="x9 = 4026. Linked location 6"/>
    <hyperlink ref="A251" location="'Calc'!I197" display="x10 = 4026. Linked location 7"/>
    <hyperlink ref="A262" location="'Calc'!B255" display="x1 = 4032. Maximum demand run kVA at Location"/>
    <hyperlink ref="A263" location="'Calc'!C255" display="x2 = 4032. Maximum demand run kVA at Linked location 1"/>
    <hyperlink ref="A264" location="'Calc'!D255" display="x3 = 4032. Maximum demand run kVA at Linked location 2"/>
    <hyperlink ref="A265" location="'Calc'!E255" display="x4 = 4032. Maximum demand run kVA at Linked location 3"/>
    <hyperlink ref="A266" location="'Calc'!F255" display="x5 = 4032. Maximum demand run kVA at Linked location 4"/>
    <hyperlink ref="A267" location="'Calc'!G255" display="x6 = 4032. Maximum demand run kVA at Linked location 5"/>
    <hyperlink ref="A268" location="'Calc'!H255" display="x7 = 4032. Maximum demand run kVA at Linked location 6"/>
    <hyperlink ref="A269" location="'Calc'!I255" display="x8 = 4032. Maximum demand run kVA at Linked location 7"/>
    <hyperlink ref="A270" location="'Calc'!B197" display="x9 = 4026. Location"/>
    <hyperlink ref="A271" location="'Calc'!C197" display="x10 = 4026. Linked location 1"/>
    <hyperlink ref="A272" location="'Calc'!D197" display="x11 = 4026. Linked location 2"/>
    <hyperlink ref="A273" location="'Calc'!E197" display="x12 = 4026. Linked location 3"/>
    <hyperlink ref="A274" location="'Calc'!F197" display="x13 = 4026. Linked location 4"/>
    <hyperlink ref="A275" location="'Calc'!G197" display="x14 = 4026. Linked location 5"/>
    <hyperlink ref="A276" location="'Calc'!H197" display="x15 = 4026. Linked location 6"/>
    <hyperlink ref="A277" location="'Calc'!I197" display="x16 = 4026. Linked location 7"/>
    <hyperlink ref="A278" location="'Calc'!B216" display="x17 = 4028. Local charge 1 £/kVA/year at Location"/>
    <hyperlink ref="A279" location="'Calc'!C216" display="x18 = 4028. Local charge 1 £/kVA/year at Linked location 1"/>
    <hyperlink ref="A280" location="'Calc'!D216" display="x19 = 4028. Local charge 1 £/kVA/year at Linked location 2"/>
    <hyperlink ref="A281" location="'Calc'!E216" display="x20 = 4028. Local charge 1 £/kVA/year at Linked location 3"/>
    <hyperlink ref="A282" location="'Calc'!F216" display="x21 = 4028. Local charge 1 £/kVA/year at Linked location 4"/>
    <hyperlink ref="A283" location="'Calc'!G216" display="x22 = 4028. Local charge 1 £/kVA/year at Linked location 5"/>
    <hyperlink ref="A284" location="'Calc'!H216" display="x23 = 4028. Local charge 1 £/kVA/year at Linked location 6"/>
    <hyperlink ref="A285" location="'Calc'!I216" display="x24 = 4028. Local charge 1 £/kVA/year at Linked location 7"/>
    <hyperlink ref="A286" location="'Calc'!B235" display="x25 = 4030. Network charge 1 £/kVA/year at Location"/>
    <hyperlink ref="A287" location="'Calc'!C235" display="x26 = 4030. Network charge 1 £/kVA/year at Linked location 1"/>
    <hyperlink ref="A288" location="'Calc'!D235" display="x27 = 4030. Network charge 1 £/kVA/year at Linked location 2"/>
    <hyperlink ref="A289" location="'Calc'!E235" display="x28 = 4030. Network charge 1 £/kVA/year at Linked location 3"/>
    <hyperlink ref="A290" location="'Calc'!F235" display="x29 = 4030. Network charge 1 £/kVA/year at Linked location 4"/>
    <hyperlink ref="A291" location="'Calc'!G235" display="x30 = 4030. Network charge 1 £/kVA/year at Linked location 5"/>
    <hyperlink ref="A292" location="'Calc'!H235" display="x31 = 4030. Network charge 1 £/kVA/year at Linked location 6"/>
    <hyperlink ref="A293" location="'Calc'!I235" display="x32 = 4030. Network charge 1 £/kVA/year at Linked location 7"/>
    <hyperlink ref="A294" location="'913'!I5" display="x33 = 913. Maximum demand run: kW (in LRIC power flow modelling data)"/>
    <hyperlink ref="A295" location="'Calc'!D300" display="x34 = Total active power in maximum demand scenario (kW)"/>
    <hyperlink ref="A296" location="'913'!J5" display="x35 = 913. Maximum demand run: kVAr (in LRIC power flow modelling data)"/>
    <hyperlink ref="A307" location="'Calc'!C300" display="x1 = 4034. Average network charge 1 (£/kVA/year)"/>
    <hyperlink ref="A308" location="'935'!P6" display="x2 = 935. Super red kW import divided by kVA capacity (in Tariff data)"/>
    <hyperlink ref="A309" location="'Calc'!E300" display="x3 = 4034. Inverse power factor, maximum demand (kVA/kW)"/>
    <hyperlink ref="A310" location="'11'!B16" display="x4 = 1113. Days in year (in General inputs)"/>
    <hyperlink ref="A311" location="'Calc'!B300" display="x5 = 4034. Average local charge 1 (£/kVA/year)"/>
    <hyperlink ref="A312" location="'11'!D16" display="x6 = 1113. Annual hours in super red (in General inputs)"/>
    <hyperlink ref="A313" location="'935'!V6" display="x7 = 935. Proportion eligible for charge 1 credits (in Tariff data)"/>
    <hyperlink ref="A314" location="'Calc'!L70" display="x8 = 4012. Chargeable export capacity adjusted for part-year (kVA)"/>
    <hyperlink ref="A315" location="'Calc'!E321" display="x9 = Generation credit (before exempt adjustment) p/kWh"/>
    <hyperlink ref="A316" location="'Calc'!H70" display="x10 = 4012. Exempt export capacity (kVA) adjusted for part-year"/>
    <hyperlink ref="A317" location="'Calc'!F321" display="x11 = Generation credit (unrounded) p/kWh"/>
    <hyperlink ref="A328" location="'Calc'!D70" display="x1 = 4012. Maximum import capacity adjusted for part-year (kVA)"/>
    <hyperlink ref="A329" location="'Calc'!E70" display="x2 = 4012. Non-DSM import capacity adjusted for part-year (kVA)"/>
    <hyperlink ref="A330" location="'Calc'!C321" display="x3 = 4036. Import capacity charge p/kVA/day"/>
    <hyperlink ref="A331" location="'Calc'!D321" display="x4 = 4036. Super red rate p/kWh"/>
    <hyperlink ref="A332" location="'935'!P6" display="x5 = 935. Super red kW import divided by kVA capacity (in Tariff data)"/>
    <hyperlink ref="A333" location="'11'!D16" display="x6 = 1113. Annual hours in super red (in General inputs)"/>
    <hyperlink ref="A334" location="'935'!X6" display="x7 = 935. Hours in super-red for which not a customer (in Tariff data)"/>
    <hyperlink ref="A335" location="'11'!B16" display="x8 = 1113. Days in year (in General inputs)"/>
    <hyperlink ref="A336" location="'935'!W6" display="x9 = 935. Days for which not a customer (in Tariff data)"/>
    <hyperlink ref="A337" location="'Calc'!D99" display="x10 = 4016. Factor for the allocation of capacity scaling"/>
    <hyperlink ref="A338" location="'Calc'!B125" display="x11 = 4018. Super red kW divided by kVA adjusted for part-year"/>
    <hyperlink ref="A339" location="'935'!R6" display="x12 = 935. Proportion exposed to indirect cost allocation (in Tariff data)"/>
    <hyperlink ref="A340" location="'Calc'!G177" display="x13 = 4024. Second set of capacity assets (£/kVA)"/>
    <hyperlink ref="A341" location="'Calc'!M177" display="x14 = 4024. Second set of consumption assets (£/kVA)"/>
    <hyperlink ref="A352" location="'11'!B66" display="x1 = 1193. Baseline total sole use assets for demand (£) (in Baseline EDCM notional asset aggregates)"/>
    <hyperlink ref="A353" location="'Calc'!B32" display="x2 = 4008. Is this the master model?"/>
    <hyperlink ref="A354" location="'Calc'!E125" display="x3 = 4018. Demand sole use asset MEAV adjusted for part-year (£)"/>
    <hyperlink ref="A355" location="'Calc'!B70" display="x4 = 4012. Weighting of each tariff for reconciliation of totals"/>
    <hyperlink ref="A356" location="'11'!D66" display="x5 = 1193. Baseline total notional capacity assets (£) (in Baseline EDCM notional asset aggregates)"/>
    <hyperlink ref="A357" location="'Calc'!G145" display="x6 = 4020. Capacity assets (£/kVA)"/>
    <hyperlink ref="A358" location="'Calc'!D70" display="x7 = 4012. Maximum import capacity adjusted for part-year (kVA)"/>
    <hyperlink ref="A359" location="'11'!E66" display="x8 = 1193. Baseline total notional consumption assets (£) (in Baseline EDCM notional asset aggregates)"/>
    <hyperlink ref="A360" location="'Calc'!M145" display="x9 = 4020. Consumption assets (£/kVA)"/>
    <hyperlink ref="A361" location="'11'!C66" display="x10 = 1193. Baseline total sole use assets for generation (£) (in Baseline EDCM notional asset aggregates)"/>
    <hyperlink ref="A362" location="'Calc'!F125" display="x11 = 4018. Generation sole use asset MEAV adjusted for part-year (£)"/>
    <hyperlink ref="A363" location="'Calc'!B385" display="x12 = Total sole use assets for demand (£)"/>
    <hyperlink ref="A364" location="'Calc'!C385" display="x13 = Capacity assets (£)"/>
    <hyperlink ref="A365" location="'Calc'!D385" display="x14 = Consumption assets (£)"/>
    <hyperlink ref="A366" location="'Calc'!E385" display="x15 = Total sole use assets for generation (£)"/>
    <hyperlink ref="A367" location="'11'!B56" display="x16 = 1191. Baseline total EDCM peak time consumption (kW) (in Baseline EDCM demand aggregates)"/>
    <hyperlink ref="A368" location="'Calc'!I125" display="x17 = 4018. Peak-time active power consumption adjusted to transmission (kW/kVA)"/>
    <hyperlink ref="A369" location="'Calc'!F32" display="x18 = 4008. Total CDCM peak time consumption (kW)"/>
    <hyperlink ref="A370" location="'Calc'!G385" display="x19 = Total EDCM peak time consumption (kW)"/>
    <hyperlink ref="A371" location="'11'!F16" display="x20 = 1113. Transmission exit charges (£/year) (in General inputs)"/>
    <hyperlink ref="A372" location="'Calc'!H385" display="x21 = Estimated total peak-time consumption (kW)"/>
    <hyperlink ref="A373" location="'11'!G16" display="x22 = 1113. Direct cost (£/year) (in General inputs)"/>
    <hyperlink ref="A374" location="'Calc'!F385" display="x23 = All notional assets in EDCM (£)"/>
    <hyperlink ref="A375" location="'Calc'!C32" display="x24 = 4008. EHV assets in CDCM model (£)"/>
    <hyperlink ref="A376" location="'Calc'!D32" display="x25 = 4008. HV and LV network assets in CDCM model (£)"/>
    <hyperlink ref="A377" location="'Calc'!E32" display="x26 = 4008. HV and LV service assets in CDCM model (£)"/>
    <hyperlink ref="A378" location="'Calc'!B99" display="x27 = 4016. EHV operating expenditure intensity"/>
    <hyperlink ref="A379" location="'11'!I16" display="x28 = 1113. Network rates (£/year) (in General inputs)"/>
    <hyperlink ref="A380" location="'11'!H16" display="x29 = 1113. Indirect cost (£/year) (in General inputs)"/>
    <hyperlink ref="A381" location="'Calc'!L385" display="x30 = Indirect cost charging rate"/>
    <hyperlink ref="A390" location="'Calc'!J385" display="x1 = 4040. Direct cost charging rate"/>
    <hyperlink ref="A391" location="'Calc'!C385" display="x2 = 4040. Capacity assets (£)"/>
    <hyperlink ref="A392" location="'Calc'!D385" display="x3 = 4040. Consumption assets (£)"/>
    <hyperlink ref="A393" location="'Calc'!K385" display="x4 = 4040. Network rates charging rate"/>
    <hyperlink ref="A394" location="'11'!B61" display="x5 = 1192. Baseline total chargeable export capacity (kVA) (in Baseline EDCM generation aggregates)"/>
    <hyperlink ref="A395" location="'Calc'!B32" display="x6 = 4008. Is this the master model?"/>
    <hyperlink ref="A396" location="'Calc'!L70" display="x7 = 4012. Chargeable export capacity adjusted for part-year (kVA)"/>
    <hyperlink ref="A397" location="'Calc'!B70" display="x8 = 4012. Weighting of each tariff for reconciliation of totals"/>
    <hyperlink ref="A398" location="'11'!C61" display="x9 = 1192. Baseline total non-exempt 2005-2010 export capacity (kVA) (in Baseline EDCM generation aggregates)"/>
    <hyperlink ref="A399" location="'Calc'!J70" display="x10 = 4012. Non-exempt 2005-2010 export capacity (kVA) adjusted for part-year"/>
    <hyperlink ref="A400" location="'11'!D61" display="x11 = 1192. Baseline total non-exempt post-2010 export capacity (kVA) (in Baseline EDCM generation aggregates)"/>
    <hyperlink ref="A401" location="'Calc'!K70" display="x12 = 4012. Non-exempt post-2010 export capacity (kVA) adjusted for part-year"/>
    <hyperlink ref="A402" location="'11'!C16" display="x13 = 1113. O&amp;M charging rate based on FBPQ data (£/kW/year) (in General inputs)"/>
    <hyperlink ref="A403" location="'Calc'!E429" display="x14 = Non-exempt 2005-2010 export capacity (kVA) adjusted for part-year (total)"/>
    <hyperlink ref="A404" location="'Calc'!D429" display="x15 = Chargeable export capacity adjusted for part-year (kVA) (total)"/>
    <hyperlink ref="A405" location="'11'!J16" display="x16 = 1113. Average adjusted GP (£/year) (in General inputs)"/>
    <hyperlink ref="A406" location="'Calc'!F429" display="x17 = Non-exempt post-2010 export capacity (kVA) adjusted for part-year (total)"/>
    <hyperlink ref="A407" location="'11'!M16" display="x18 = 1113. Total CDCM generation capacity post-2010 (kVA) (in General inputs)"/>
    <hyperlink ref="A408" location="'11'!K16" display="x19 = 1113. GL term from the DG incentive revenue calculation (£/year) (in General inputs)"/>
    <hyperlink ref="A409" location="'11'!L16" display="x20 = 1113. Total CDCM generation capacity 2005-2010 (kVA) (in General inputs)"/>
    <hyperlink ref="A410" location="'11'!B16" display="x21 = 1113. Days in year (in General inputs)"/>
    <hyperlink ref="A411" location="'11'!E56" display="x22 = 1191. Baseline revenue from demand charge 1 (£/year) (in Baseline EDCM demand aggregates)"/>
    <hyperlink ref="A412" location="'Calc'!D345" display="x23 = 4038. Import capacity charge from charge 1 (p/kVA/day)"/>
    <hyperlink ref="A413" location="'Calc'!D70" display="x24 = 4012. Maximum import capacity adjusted for part-year (kVA)"/>
    <hyperlink ref="A414" location="'Calc'!C345" display="x25 = 4038. Super red unit rate adjusted for DSM (p/kWh)"/>
    <hyperlink ref="A415" location="'935'!P6" display="x26 = 935. Super red kW import divided by kVA capacity (in Tariff data)"/>
    <hyperlink ref="A416" location="'935'!C6" display="x27 = 935. Maximum import capacity (kVA) (in Tariff data)"/>
    <hyperlink ref="A417" location="'Calc'!E345" display="x28 = 4038. Number of super-red hours connected in year"/>
    <hyperlink ref="A418" location="'11'!C56" display="x29 = 1191. Baseline total marginal effect of indirect cost adder (kVA) (in Baseline EDCM demand aggregates)"/>
    <hyperlink ref="A419" location="'Calc'!G345" display="x30 = 4038. Data for capacity-based allocation of indirect costs"/>
    <hyperlink ref="A420" location="'Calc'!M385" display="x31 = 4040. Indirect costs on EDCM demand (£/year)"/>
    <hyperlink ref="A421" location="'Calc'!I429" display="x32 = Total marginal effect of indirect cost adder"/>
    <hyperlink ref="A422" location="'11'!D56" display="x33 = 1191. Baseline total marginal effect of demand adder (kVA) (in Baseline EDCM demand aggregates)"/>
    <hyperlink ref="A423" location="'Calc'!F345" display="x34 = 4038. Marginal revenue effect of demand adder"/>
    <hyperlink ref="A424" location="'11'!F66" display="x35 = 1193. Baseline total non sole use notional assets subject to matching (£) (in Baseline EDCM notional asset aggregates)"/>
    <hyperlink ref="A425" location="'Calc'!H345" display="x36 = 4038. Non sole use notional assets subject to matching (£)"/>
    <hyperlink ref="A434" location="'Calc'!C70" display="x1 = 4012. Has import charges?"/>
    <hyperlink ref="A435" location="'11'!B16" display="x2 = 1113. Days in year (in General inputs)"/>
    <hyperlink ref="A436" location="'Calc'!C125" display="x3 = 4018. Sole use asset MEAV for demand (£)"/>
    <hyperlink ref="A437" location="'Calc'!J385" display="x4 = 4040. Direct cost charging rate"/>
    <hyperlink ref="A438" location="'Calc'!K385" display="x5 = 4040. Network rates charging rate"/>
    <hyperlink ref="A439" location="'Calc'!F125" display="x6 = 4018. Generation sole use asset MEAV adjusted for part-year (£)"/>
    <hyperlink ref="A440" location="'Calc'!D125" display="x7 = 4018. Sole use asset MEAV for non-exempt generation (£)"/>
    <hyperlink ref="A441" location="'Calc'!D459" display="x8 = Export fixed charge (unrounded) p/day"/>
    <hyperlink ref="A442" location="'Calc'!L70" display="x9 = 4012. Chargeable export capacity adjusted for part-year (kVA)"/>
    <hyperlink ref="A443" location="'Calc'!I385" display="x10 = 4040. Transmission exit charging rate (£/kW/year)"/>
    <hyperlink ref="A444" location="'Calc'!G70" display="x11 = 4012. Capacity eligible for GSP generation credits (kW) adjusted for part-year"/>
    <hyperlink ref="A445" location="'Calc'!F70" display="x12 = 4012. Has export charges?"/>
    <hyperlink ref="A446" location="'Calc'!G429" display="x13 = 4042. Export capacity charge p/kVA/day"/>
    <hyperlink ref="A447" location="'Calc'!G459" display="x14 = Export capacity charge (unrounded) p/kVA/day"/>
    <hyperlink ref="A448" location="'Calc'!F459" display="x15 = Generation credit (unrounded) p/kVA/day"/>
    <hyperlink ref="A449" location="'Calc'!I459" display="x16 = Net export capacity charge (or credit) (unrounded) (p/kVA/day)"/>
    <hyperlink ref="A450" location="'Calc'!I125" display="x17 = 4018. Peak-time active power consumption adjusted to transmission (kW/kVA)"/>
    <hyperlink ref="A451" location="'Calc'!K459" display="x18 = Capacity charge p/kVA/day (exit only)"/>
    <hyperlink ref="A452" location="'Calc'!D345" display="x19 = 4038. Import capacity charge from charge 1 (p/kVA/day)"/>
    <hyperlink ref="A453" location="'Calc'!L459" display="x20 = Import capacity charge before scaling (p/kVA/day)"/>
    <hyperlink ref="A454" location="'Calc'!J429" display="x21 = 4042. Indirect costs application rate"/>
    <hyperlink ref="A455" location="'Calc'!G345" display="x22 = 4038. Data for capacity-based allocation of indirect costs"/>
    <hyperlink ref="A466" location="'11'!E61" display="x1 = 1192. Baseline net forecast EDCM generation revenue (£/year) (in Baseline EDCM generation aggregates)"/>
    <hyperlink ref="A467" location="'Calc'!B32" display="x2 = 4008. Is this the master model?"/>
    <hyperlink ref="A468" location="'Calc'!B70" display="x3 = 4012. Weighting of each tariff for reconciliation of totals"/>
    <hyperlink ref="A469" location="'Calc'!G321" display="x4 = 4036. Export super-red unit rate (p/kWh)"/>
    <hyperlink ref="A470" location="'935'!T6" display="x5 = 935. Super red units exported (kWh) (in Tariff data)"/>
    <hyperlink ref="A471" location="'Calc'!J459" display="x6 = 4044. Export capacity rate (p/kVA/day)"/>
    <hyperlink ref="A472" location="'Calc'!L70" display="x7 = 4012. Chargeable export capacity adjusted for part-year (kVA)"/>
    <hyperlink ref="A473" location="'11'!B16" display="x8 = 1113. Days in year (in General inputs)"/>
    <hyperlink ref="A474" location="'Calc'!C459" display="x9 = 4044. Generation fixed charge p/day (scaled for part year)"/>
    <hyperlink ref="A475" location="'Calc'!I385" display="x10 = 4040. Transmission exit charging rate (£/kW/year)"/>
    <hyperlink ref="A476" location="'Calc'!G385" display="x11 = 4040. Total EDCM peak time consumption (kW)"/>
    <hyperlink ref="A477" location="'Calc'!B385" display="x12 = 4040. Total sole use assets for demand (£)"/>
    <hyperlink ref="A478" location="'Calc'!C385" display="x13 = 4040. Capacity assets (£)"/>
    <hyperlink ref="A479" location="'Calc'!D385" display="x14 = 4040. Consumption assets (£)"/>
    <hyperlink ref="A480" location="'Calc'!J385" display="x15 = 4040. Direct cost charging rate"/>
    <hyperlink ref="A481" location="'Calc'!K385" display="x16 = 4040. Network rates charging rate"/>
    <hyperlink ref="A482" location="'Calc'!L385" display="x17 = 4040. Indirect cost charging rate"/>
    <hyperlink ref="A483" location="'11'!E16" display="x18 = 1113. The amount of money that the DNO wants to raise from use of system charges, less transmission exit (£/year) (in General inputs)"/>
    <hyperlink ref="A484" location="'11'!G16" display="x19 = 1113. Direct cost (£/year) (in General inputs)"/>
    <hyperlink ref="A485" location="'11'!H16" display="x20 = 1113. Indirect cost (£/year) (in General inputs)"/>
    <hyperlink ref="A486" location="'11'!I16" display="x21 = 1113. Network rates (£/year) (in General inputs)"/>
    <hyperlink ref="A487" location="'Calc'!B504" display="x22 = Net forecast EDCM generation revenue (£/year)"/>
    <hyperlink ref="A488" location="'Calc'!C32" display="x23 = 4008. EHV assets in CDCM model (£)"/>
    <hyperlink ref="A489" location="'Calc'!D32" display="x24 = 4008. HV and LV network assets in CDCM model (£)"/>
    <hyperlink ref="A490" location="'Calc'!C504" display="x25 = Demand revenue target pot (£/year)"/>
    <hyperlink ref="A491" location="'Calc'!H429" display="x26 = 4042. Revenue from demand charge 1 (£/year)"/>
    <hyperlink ref="A492" location="'Calc'!D504" display="x27 = Additional amount to be recovered (£/year)"/>
    <hyperlink ref="A493" location="'Calc'!M385" display="x28 = 4040. Indirect costs on EDCM demand (£/year)"/>
    <hyperlink ref="A494" location="'Calc'!B429" display="x29 = 4042. Direct costs on EDCM demand except through sole use asset charges (£/year)"/>
    <hyperlink ref="A495" location="'Calc'!C429" display="x30 = 4042. Network rates on EDCM demand except through sole use asset charges (£/year)"/>
    <hyperlink ref="A496" location="'Calc'!E504" display="x31 = Amount to be recovered from adders ex costs (£/year)"/>
    <hyperlink ref="A497" location="'Calc'!E99" display="x32 = 4016. Proportion of residual to go into fixed adder"/>
    <hyperlink ref="A498" location="'Calc'!K429" display="x33 = 4042. Total marginal revenue effect of demand adder"/>
    <hyperlink ref="A499" location="'Calc'!G504" display="x34 = Residual residual (£/year)"/>
    <hyperlink ref="A500" location="'Calc'!L429" display="x35 = 4042. Total non sole use notional assets subject to matching (£)"/>
    <hyperlink ref="A509" location="'Calc'!M459" display="x1 = 4044. Capacity charge after applying indirect cost charge p/kVA/day"/>
    <hyperlink ref="A510" location="'Calc'!F504" display="x2 = 4046. Fixed adder ex indirects application rate"/>
    <hyperlink ref="A511" location="'Calc'!D99" display="x3 = 4016. Factor for the allocation of capacity scaling"/>
    <hyperlink ref="A512" location="'Calc'!B125" display="x4 = 4018. Super red kW divided by kVA adjusted for part-year"/>
    <hyperlink ref="A513" location="'11'!B16" display="x5 = 1113. Days in year (in General inputs)"/>
    <hyperlink ref="A514" location="'Calc'!H504" display="x6 = 4046. Annual charge on assets"/>
    <hyperlink ref="A515" location="'Calc'!G177" display="x7 = 4024. Second set of capacity assets (£/kVA)"/>
    <hyperlink ref="A516" location="'Calc'!M177" display="x8 = 4024. Second set of consumption assets (£/kVA)"/>
    <hyperlink ref="A517" location="'Calc'!D321" display="x9 = 4036. Super red rate p/kWh"/>
    <hyperlink ref="A518" location="'11'!D16" display="x10 = 1113. Annual hours in super red (in General inputs)"/>
    <hyperlink ref="A519" location="'Calc'!B532" display="x11 = Capacity charge after applying fixed adder ex indirects p/kVA/day"/>
    <hyperlink ref="A520" location="'Calc'!C532" display="x12 = Demand scaling p/kVA/day"/>
    <hyperlink ref="A521" location="'Calc'!C70" display="x13 = 4012. Has import charges?"/>
    <hyperlink ref="A522" location="'Calc'!C345" display="x14 = 4038. Super red unit rate adjusted for DSM (p/kWh)"/>
    <hyperlink ref="A523" location="'Calc'!D532" display="x15 = Total import capacity charge p/kVA/day"/>
    <hyperlink ref="A524" location="'935'!P6" display="x16 = 935. Super red kW import divided by kVA capacity (in Tariff data)"/>
    <hyperlink ref="A525" location="'935'!W6" display="x17 = 935. Days for which not a customer (in Tariff data)"/>
    <hyperlink ref="A526" location="'935'!X6" display="x18 = 935. Hours in super-red for which not a customer (in Tariff data)"/>
    <hyperlink ref="A527" location="'Calc'!F532" display="x19 = Import capacity charge p/kVA/day"/>
    <hyperlink ref="A528" location="'Calc'!B345" display="x20 = 4038. Adjustment to exceeded import capacity charge for DSM (p/kVA/day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0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8.83203125" defaultRowHeight="14" x14ac:dyDescent="0"/>
  <cols>
    <col min="1" max="1" width="20.6640625" customWidth="1"/>
    <col min="2" max="2" width="50.6640625" customWidth="1"/>
    <col min="3" max="251" width="20.6640625" customWidth="1"/>
  </cols>
  <sheetData>
    <row r="1" spans="1:12" ht="21" customHeight="1">
      <c r="A1" s="1" t="str">
        <f>"Results"&amp;" for "&amp;'11'!B7&amp;" in "&amp;'11'!C7&amp;" ("&amp;'11'!D7&amp;")"</f>
        <v>Results for Illustrative DNO in 2013/2014 (DCP 183 worked example)</v>
      </c>
    </row>
    <row r="3" spans="1:12" ht="21" customHeight="1">
      <c r="A3" s="1" t="s">
        <v>707</v>
      </c>
    </row>
    <row r="4" spans="1:12">
      <c r="A4" s="2" t="s">
        <v>112</v>
      </c>
    </row>
    <row r="5" spans="1:12">
      <c r="A5" s="12" t="s">
        <v>708</v>
      </c>
    </row>
    <row r="6" spans="1:12">
      <c r="A6" s="12" t="s">
        <v>709</v>
      </c>
    </row>
    <row r="7" spans="1:12">
      <c r="A7" s="12" t="s">
        <v>710</v>
      </c>
    </row>
    <row r="8" spans="1:12">
      <c r="A8" s="12" t="s">
        <v>711</v>
      </c>
    </row>
    <row r="9" spans="1:12">
      <c r="A9" s="12" t="s">
        <v>712</v>
      </c>
    </row>
    <row r="10" spans="1:12">
      <c r="A10" s="12" t="s">
        <v>713</v>
      </c>
    </row>
    <row r="11" spans="1:12">
      <c r="A11" s="12" t="s">
        <v>714</v>
      </c>
    </row>
    <row r="12" spans="1:12">
      <c r="A12" s="12" t="s">
        <v>715</v>
      </c>
    </row>
    <row r="13" spans="1:12">
      <c r="A13" s="12" t="s">
        <v>716</v>
      </c>
    </row>
    <row r="14" spans="1:12">
      <c r="A14" s="21" t="s">
        <v>125</v>
      </c>
      <c r="B14" s="21" t="s">
        <v>128</v>
      </c>
      <c r="C14" s="21" t="s">
        <v>126</v>
      </c>
      <c r="D14" s="21" t="s">
        <v>126</v>
      </c>
      <c r="E14" s="21" t="s">
        <v>126</v>
      </c>
      <c r="F14" s="21" t="s">
        <v>126</v>
      </c>
      <c r="G14" s="21" t="s">
        <v>128</v>
      </c>
      <c r="H14" s="21" t="s">
        <v>128</v>
      </c>
      <c r="I14" s="21" t="s">
        <v>128</v>
      </c>
      <c r="J14" s="21" t="s">
        <v>128</v>
      </c>
      <c r="K14" s="21" t="s">
        <v>717</v>
      </c>
      <c r="L14" s="21" t="s">
        <v>717</v>
      </c>
    </row>
    <row r="15" spans="1:12">
      <c r="A15" s="21" t="s">
        <v>129</v>
      </c>
      <c r="B15" s="21" t="s">
        <v>718</v>
      </c>
      <c r="C15" s="21" t="s">
        <v>719</v>
      </c>
      <c r="D15" s="21" t="s">
        <v>720</v>
      </c>
      <c r="E15" s="21" t="s">
        <v>721</v>
      </c>
      <c r="F15" s="21" t="s">
        <v>722</v>
      </c>
      <c r="G15" s="21" t="s">
        <v>134</v>
      </c>
      <c r="H15" s="21" t="s">
        <v>723</v>
      </c>
      <c r="I15" s="21" t="s">
        <v>724</v>
      </c>
      <c r="J15" s="21" t="s">
        <v>725</v>
      </c>
      <c r="K15" s="21" t="s">
        <v>726</v>
      </c>
      <c r="L15" s="21" t="s">
        <v>726</v>
      </c>
    </row>
    <row r="17" spans="1:13" ht="42">
      <c r="B17" s="3" t="s">
        <v>83</v>
      </c>
      <c r="C17" s="3" t="s">
        <v>727</v>
      </c>
      <c r="D17" s="3" t="s">
        <v>728</v>
      </c>
      <c r="E17" s="3" t="s">
        <v>729</v>
      </c>
      <c r="F17" s="3" t="s">
        <v>730</v>
      </c>
      <c r="G17" s="3" t="s">
        <v>441</v>
      </c>
      <c r="H17" s="3" t="s">
        <v>621</v>
      </c>
      <c r="I17" s="3" t="s">
        <v>626</v>
      </c>
      <c r="J17" s="3" t="s">
        <v>731</v>
      </c>
      <c r="K17" s="3" t="s">
        <v>732</v>
      </c>
      <c r="L17" s="3" t="s">
        <v>733</v>
      </c>
    </row>
    <row r="18" spans="1:13">
      <c r="A18" s="19">
        <v>1</v>
      </c>
      <c r="B18" s="27" t="str">
        <f>'935'!B7</f>
        <v>Mr Full On</v>
      </c>
      <c r="C18" s="6">
        <f>ROUND(Calc!E533,3)</f>
        <v>0</v>
      </c>
      <c r="D18" s="25">
        <f>ROUND(Calc!B460,2)</f>
        <v>33.76</v>
      </c>
      <c r="E18" s="25">
        <f>ROUND(Calc!F533,2)</f>
        <v>12.29</v>
      </c>
      <c r="F18" s="25">
        <f>ROUND(Calc!G533,2)</f>
        <v>12.29</v>
      </c>
      <c r="G18" s="7">
        <f>Calc!G322</f>
        <v>0</v>
      </c>
      <c r="H18" s="28">
        <f>Calc!E460</f>
        <v>0</v>
      </c>
      <c r="I18" s="28">
        <f>Calc!J460</f>
        <v>0</v>
      </c>
      <c r="J18" s="28">
        <f>Calc!H460</f>
        <v>0</v>
      </c>
      <c r="K18" s="29">
        <f>MOD(49222*(ROUND(J18*100,0)+MOD(49222*(ROUND(I18*100,0)+MOD(49222*(ROUND(H18*100,0)+MOD(49222*(ROUND(G18*1000,0)+MOD(49222*(ROUND(F18*100,0)+MOD(49222*(ROUND(E18*100,0)+MOD(49222*(ROUND(D18*100,0)+MOD(49222*(ROUND(C18*1000,0)),99991)),99991)),99991)),99991)),99991)),99991)),99991)),99991)</f>
        <v>15721</v>
      </c>
      <c r="L18" s="30">
        <f>MOD(4922236*(ROUND(J18*100,0)+MOD(4922236*(ROUND(I18*100,0)+MOD(4922236*(ROUND(H18*100,0)+MOD(4922236*(ROUND(G18*1000,0)+MOD(4922236*(ROUND(F18*100,0)+MOD(4922236*(ROUND(E18*100,0)+MOD(4922236*(ROUND(D18*100,0)+MOD(4922236*(ROUND(C18*1000,0)+L19),9999991)),9999991)),9999991)),9999991)),9999991)),9999991)),9999991)),9999991)</f>
        <v>3260192</v>
      </c>
      <c r="M18" s="10"/>
    </row>
    <row r="19" spans="1:13">
      <c r="A19" s="19">
        <v>2</v>
      </c>
      <c r="B19" s="27" t="str">
        <f>'935'!B8</f>
        <v>Mr Load Manager</v>
      </c>
      <c r="C19" s="6">
        <f>ROUND(Calc!E534,3)</f>
        <v>0</v>
      </c>
      <c r="D19" s="25">
        <f>ROUND(Calc!B461,2)</f>
        <v>33.76</v>
      </c>
      <c r="E19" s="25">
        <f>ROUND(Calc!F534,2)</f>
        <v>2.35</v>
      </c>
      <c r="F19" s="25">
        <f>ROUND(Calc!G534,2)</f>
        <v>2.35</v>
      </c>
      <c r="G19" s="7">
        <f>Calc!G323</f>
        <v>0</v>
      </c>
      <c r="H19" s="28">
        <f>Calc!E461</f>
        <v>0</v>
      </c>
      <c r="I19" s="28">
        <f>Calc!J461</f>
        <v>0</v>
      </c>
      <c r="J19" s="28">
        <f>Calc!H461</f>
        <v>0</v>
      </c>
      <c r="K19" s="29">
        <f>MOD(49222*(ROUND(J19*100,0)+MOD(49222*(ROUND(I19*100,0)+MOD(49222*(ROUND(H19*100,0)+MOD(49222*(ROUND(G19*1000,0)+MOD(49222*(ROUND(F19*100,0)+MOD(49222*(ROUND(E19*100,0)+MOD(49222*(ROUND(D19*100,0)+MOD(49222*(ROUND(C19*1000,0)),99991)),99991)),99991)),99991)),99991)),99991)),99991)),99991)</f>
        <v>47216</v>
      </c>
      <c r="L19" s="30">
        <f>MOD(4922236*(ROUND(J19*100,0)+MOD(4922236*(ROUND(I19*100,0)+MOD(4922236*(ROUND(H19*100,0)+MOD(4922236*(ROUND(G19*1000,0)+MOD(4922236*(ROUND(F19*100,0)+MOD(4922236*(ROUND(E19*100,0)+MOD(4922236*(ROUND(D19*100,0)+MOD(4922236*(ROUND(C19*1000,0)+L20),9999991)),9999991)),9999991)),9999991)),9999991)),9999991)),9999991)),9999991)</f>
        <v>939024</v>
      </c>
      <c r="M19" s="10"/>
    </row>
    <row r="20" spans="1:13">
      <c r="A20" s="19">
        <v>3</v>
      </c>
      <c r="B20" s="27" t="str">
        <f>'935'!B9</f>
        <v>Mr Generator</v>
      </c>
      <c r="C20" s="6">
        <f>ROUND(Calc!E535,3)</f>
        <v>0</v>
      </c>
      <c r="D20" s="25">
        <f>ROUND(Calc!B462,2)</f>
        <v>16.09</v>
      </c>
      <c r="E20" s="25">
        <f>ROUND(Calc!F535,2)</f>
        <v>2.2799999999999998</v>
      </c>
      <c r="F20" s="25">
        <f>ROUND(Calc!G535,2)</f>
        <v>2.2799999999999998</v>
      </c>
      <c r="G20" s="7">
        <f>Calc!G324</f>
        <v>0</v>
      </c>
      <c r="H20" s="28">
        <f>Calc!E462</f>
        <v>32.18</v>
      </c>
      <c r="I20" s="28">
        <f>Calc!J462</f>
        <v>0.08</v>
      </c>
      <c r="J20" s="28">
        <f>Calc!H462</f>
        <v>0.08</v>
      </c>
      <c r="K20" s="29">
        <f>MOD(49222*(ROUND(J20*100,0)+MOD(49222*(ROUND(I20*100,0)+MOD(49222*(ROUND(H20*100,0)+MOD(49222*(ROUND(G20*1000,0)+MOD(49222*(ROUND(F20*100,0)+MOD(49222*(ROUND(E20*100,0)+MOD(49222*(ROUND(D20*100,0)+MOD(49222*(ROUND(C20*1000,0)),99991)),99991)),99991)),99991)),99991)),99991)),99991)),99991)</f>
        <v>4092</v>
      </c>
      <c r="L20" s="30">
        <f>MOD(4922236*(ROUND(J20*100,0)+MOD(4922236*(ROUND(I20*100,0)+MOD(4922236*(ROUND(H20*100,0)+MOD(4922236*(ROUND(G20*1000,0)+MOD(4922236*(ROUND(F20*100,0)+MOD(4922236*(ROUND(E20*100,0)+MOD(4922236*(ROUND(D20*100,0)+MOD(4922236*(ROUND(C20*1000,0)+L21),9999991)),9999991)),9999991)),9999991)),9999991)),9999991)),9999991)),9999991)</f>
        <v>3691916</v>
      </c>
      <c r="M20" s="10"/>
    </row>
  </sheetData>
  <sheetProtection sheet="1" objects="1" scenarios="1"/>
  <hyperlinks>
    <hyperlink ref="A5" location="'935'!B6" display="x1 = 935. Name (in Tariff data)"/>
    <hyperlink ref="A6" location="'Calc'!E532" display="x2 = 4048. Super red rate p/kWh"/>
    <hyperlink ref="A7" location="'Calc'!B459" display="x3 = 4044. Demand fixed charge p/day"/>
    <hyperlink ref="A8" location="'Calc'!F532" display="x4 = 4048. Import capacity charge p/kVA/day"/>
    <hyperlink ref="A9" location="'Calc'!G532" display="x5 = 4048. Exceeded import capacity charge (p/kVA/day)"/>
    <hyperlink ref="A10" location="'Calc'!G321" display="x6 = 4036. Export super-red unit rate (p/kWh)"/>
    <hyperlink ref="A11" location="'Calc'!E459" display="x7 = 4044. Export fixed charge p/day"/>
    <hyperlink ref="A12" location="'Calc'!J459" display="x8 = 4044. Export capacity rate (p/kVA/day)"/>
    <hyperlink ref="A13" location="'Calc'!H459" display="x9 = 4044. Export capacity charge (p/kVA/day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79"/>
  <sheetViews>
    <sheetView showGridLines="0" workbookViewId="0">
      <pane xSplit="2" ySplit="1" topLeftCell="Q37" activePane="bottomRight" state="frozen"/>
      <selection pane="topRight" activeCell="C1" sqref="C1"/>
      <selection pane="bottomLeft" activeCell="A2" sqref="A2"/>
      <selection pane="bottomRight" activeCell="Q64" sqref="Q64"/>
    </sheetView>
  </sheetViews>
  <sheetFormatPr baseColWidth="10" defaultColWidth="8.83203125" defaultRowHeight="14" x14ac:dyDescent="0"/>
  <cols>
    <col min="1" max="1" width="20.6640625" customWidth="1"/>
    <col min="2" max="2" width="50.6640625" customWidth="1"/>
    <col min="3" max="251" width="20.6640625" customWidth="1"/>
  </cols>
  <sheetData>
    <row r="1" spans="1:1" ht="21" customHeight="1">
      <c r="A1" s="1" t="str">
        <f>"Revenue summary"&amp;" for "&amp;'11'!B7&amp;" in "&amp;'11'!C7&amp;" ("&amp;'11'!D7&amp;")"</f>
        <v>Revenue summary for Illustrative DNO in 2013/2014 (DCP 183 worked example)</v>
      </c>
    </row>
    <row r="3" spans="1:1" ht="21" customHeight="1">
      <c r="A3" s="1" t="s">
        <v>734</v>
      </c>
    </row>
    <row r="4" spans="1:1">
      <c r="A4" s="2" t="s">
        <v>112</v>
      </c>
    </row>
    <row r="5" spans="1:1">
      <c r="A5" s="12" t="s">
        <v>735</v>
      </c>
    </row>
    <row r="6" spans="1:1">
      <c r="A6" s="12" t="s">
        <v>736</v>
      </c>
    </row>
    <row r="7" spans="1:1">
      <c r="A7" s="12" t="s">
        <v>737</v>
      </c>
    </row>
    <row r="8" spans="1:1">
      <c r="A8" s="12" t="s">
        <v>738</v>
      </c>
    </row>
    <row r="9" spans="1:1">
      <c r="A9" s="12" t="s">
        <v>739</v>
      </c>
    </row>
    <row r="10" spans="1:1">
      <c r="A10" s="12" t="s">
        <v>740</v>
      </c>
    </row>
    <row r="11" spans="1:1">
      <c r="A11" s="12" t="s">
        <v>741</v>
      </c>
    </row>
    <row r="12" spans="1:1">
      <c r="A12" s="12" t="s">
        <v>742</v>
      </c>
    </row>
    <row r="13" spans="1:1">
      <c r="A13" s="12" t="s">
        <v>743</v>
      </c>
    </row>
    <row r="14" spans="1:1">
      <c r="A14" s="12" t="s">
        <v>744</v>
      </c>
    </row>
    <row r="15" spans="1:1">
      <c r="A15" s="12" t="s">
        <v>745</v>
      </c>
    </row>
    <row r="16" spans="1:1">
      <c r="A16" s="12" t="s">
        <v>746</v>
      </c>
    </row>
    <row r="17" spans="1:1">
      <c r="A17" s="12" t="s">
        <v>747</v>
      </c>
    </row>
    <row r="18" spans="1:1">
      <c r="A18" s="12" t="s">
        <v>748</v>
      </c>
    </row>
    <row r="19" spans="1:1">
      <c r="A19" s="12" t="s">
        <v>749</v>
      </c>
    </row>
    <row r="20" spans="1:1">
      <c r="A20" s="12" t="s">
        <v>750</v>
      </c>
    </row>
    <row r="21" spans="1:1">
      <c r="A21" s="12" t="s">
        <v>751</v>
      </c>
    </row>
    <row r="22" spans="1:1">
      <c r="A22" s="12" t="s">
        <v>752</v>
      </c>
    </row>
    <row r="23" spans="1:1">
      <c r="A23" s="12" t="s">
        <v>753</v>
      </c>
    </row>
    <row r="24" spans="1:1">
      <c r="A24" s="12" t="s">
        <v>754</v>
      </c>
    </row>
    <row r="25" spans="1:1">
      <c r="A25" s="12" t="s">
        <v>755</v>
      </c>
    </row>
    <row r="26" spans="1:1">
      <c r="A26" s="12" t="s">
        <v>756</v>
      </c>
    </row>
    <row r="27" spans="1:1">
      <c r="A27" s="12" t="s">
        <v>757</v>
      </c>
    </row>
    <row r="28" spans="1:1">
      <c r="A28" s="12" t="s">
        <v>758</v>
      </c>
    </row>
    <row r="29" spans="1:1">
      <c r="A29" s="12" t="s">
        <v>759</v>
      </c>
    </row>
    <row r="30" spans="1:1">
      <c r="A30" s="12" t="s">
        <v>760</v>
      </c>
    </row>
    <row r="31" spans="1:1">
      <c r="A31" s="12" t="s">
        <v>761</v>
      </c>
    </row>
    <row r="32" spans="1:1">
      <c r="A32" s="12" t="s">
        <v>762</v>
      </c>
    </row>
    <row r="33" spans="1:1">
      <c r="A33" s="12" t="s">
        <v>763</v>
      </c>
    </row>
    <row r="34" spans="1:1">
      <c r="A34" s="12" t="s">
        <v>764</v>
      </c>
    </row>
    <row r="35" spans="1:1">
      <c r="A35" s="12" t="s">
        <v>765</v>
      </c>
    </row>
    <row r="36" spans="1:1">
      <c r="A36" s="12" t="s">
        <v>766</v>
      </c>
    </row>
    <row r="37" spans="1:1">
      <c r="A37" s="12" t="s">
        <v>767</v>
      </c>
    </row>
    <row r="38" spans="1:1">
      <c r="A38" s="12" t="s">
        <v>768</v>
      </c>
    </row>
    <row r="39" spans="1:1">
      <c r="A39" s="12" t="s">
        <v>769</v>
      </c>
    </row>
    <row r="40" spans="1:1">
      <c r="A40" s="12" t="s">
        <v>770</v>
      </c>
    </row>
    <row r="41" spans="1:1">
      <c r="A41" s="12" t="s">
        <v>771</v>
      </c>
    </row>
    <row r="42" spans="1:1">
      <c r="A42" s="12" t="s">
        <v>772</v>
      </c>
    </row>
    <row r="43" spans="1:1">
      <c r="A43" s="12" t="s">
        <v>773</v>
      </c>
    </row>
    <row r="44" spans="1:1">
      <c r="A44" s="12" t="s">
        <v>774</v>
      </c>
    </row>
    <row r="45" spans="1:1">
      <c r="A45" s="12" t="s">
        <v>775</v>
      </c>
    </row>
    <row r="46" spans="1:1">
      <c r="A46" s="12" t="s">
        <v>776</v>
      </c>
    </row>
    <row r="47" spans="1:1">
      <c r="A47" s="12" t="s">
        <v>777</v>
      </c>
    </row>
    <row r="48" spans="1:1">
      <c r="A48" s="12" t="s">
        <v>778</v>
      </c>
    </row>
    <row r="49" spans="1:33">
      <c r="A49" s="12" t="s">
        <v>779</v>
      </c>
    </row>
    <row r="50" spans="1:33">
      <c r="A50" s="12" t="s">
        <v>780</v>
      </c>
    </row>
    <row r="51" spans="1:33">
      <c r="A51" s="12" t="s">
        <v>781</v>
      </c>
    </row>
    <row r="52" spans="1:33">
      <c r="A52" s="12" t="s">
        <v>782</v>
      </c>
    </row>
    <row r="53" spans="1:33">
      <c r="A53" s="12" t="s">
        <v>783</v>
      </c>
    </row>
    <row r="54" spans="1:33">
      <c r="A54" s="12" t="s">
        <v>784</v>
      </c>
    </row>
    <row r="55" spans="1:33">
      <c r="A55" s="12" t="s">
        <v>785</v>
      </c>
    </row>
    <row r="56" spans="1:33">
      <c r="A56" s="12" t="s">
        <v>786</v>
      </c>
    </row>
    <row r="57" spans="1:33">
      <c r="A57" s="12" t="s">
        <v>787</v>
      </c>
    </row>
    <row r="58" spans="1:33">
      <c r="A58" s="12" t="s">
        <v>788</v>
      </c>
    </row>
    <row r="59" spans="1:33">
      <c r="A59" s="12" t="s">
        <v>789</v>
      </c>
    </row>
    <row r="60" spans="1:33">
      <c r="A60" s="12" t="s">
        <v>790</v>
      </c>
    </row>
    <row r="61" spans="1:33">
      <c r="A61" s="21" t="s">
        <v>125</v>
      </c>
      <c r="B61" s="21" t="s">
        <v>128</v>
      </c>
      <c r="C61" s="21" t="s">
        <v>128</v>
      </c>
      <c r="D61" s="21" t="s">
        <v>128</v>
      </c>
      <c r="E61" s="21" t="s">
        <v>128</v>
      </c>
      <c r="F61" s="21" t="s">
        <v>128</v>
      </c>
      <c r="G61" s="21" t="s">
        <v>128</v>
      </c>
      <c r="H61" s="21" t="s">
        <v>128</v>
      </c>
      <c r="I61" s="21" t="s">
        <v>128</v>
      </c>
      <c r="J61" s="21" t="s">
        <v>128</v>
      </c>
      <c r="K61" s="21" t="s">
        <v>126</v>
      </c>
      <c r="L61" s="21" t="s">
        <v>126</v>
      </c>
      <c r="M61" s="21" t="s">
        <v>126</v>
      </c>
      <c r="N61" s="21" t="s">
        <v>126</v>
      </c>
      <c r="O61" s="21" t="s">
        <v>126</v>
      </c>
      <c r="P61" s="21" t="s">
        <v>126</v>
      </c>
      <c r="Q61" s="21" t="s">
        <v>126</v>
      </c>
      <c r="R61" s="21" t="s">
        <v>128</v>
      </c>
      <c r="S61" s="21" t="s">
        <v>126</v>
      </c>
      <c r="T61" s="21" t="s">
        <v>126</v>
      </c>
      <c r="U61" s="21" t="s">
        <v>126</v>
      </c>
      <c r="V61" s="21" t="s">
        <v>128</v>
      </c>
      <c r="W61" s="21" t="s">
        <v>126</v>
      </c>
      <c r="X61" s="21" t="s">
        <v>126</v>
      </c>
      <c r="Y61" s="21" t="s">
        <v>126</v>
      </c>
      <c r="Z61" s="21" t="s">
        <v>126</v>
      </c>
      <c r="AA61" s="21" t="s">
        <v>126</v>
      </c>
      <c r="AB61" s="21" t="s">
        <v>126</v>
      </c>
      <c r="AC61" s="21" t="s">
        <v>126</v>
      </c>
      <c r="AD61" s="21" t="s">
        <v>126</v>
      </c>
      <c r="AE61" s="21" t="s">
        <v>126</v>
      </c>
      <c r="AF61" s="21" t="s">
        <v>126</v>
      </c>
      <c r="AG61" s="21" t="s">
        <v>126</v>
      </c>
    </row>
    <row r="62" spans="1:33" ht="84">
      <c r="A62" s="21" t="s">
        <v>129</v>
      </c>
      <c r="B62" s="21" t="s">
        <v>718</v>
      </c>
      <c r="C62" s="21" t="s">
        <v>791</v>
      </c>
      <c r="D62" s="21" t="s">
        <v>792</v>
      </c>
      <c r="E62" s="21" t="s">
        <v>793</v>
      </c>
      <c r="F62" s="21" t="s">
        <v>794</v>
      </c>
      <c r="G62" s="21" t="s">
        <v>134</v>
      </c>
      <c r="H62" s="21" t="s">
        <v>723</v>
      </c>
      <c r="I62" s="21" t="s">
        <v>724</v>
      </c>
      <c r="J62" s="21" t="s">
        <v>795</v>
      </c>
      <c r="K62" s="21" t="s">
        <v>796</v>
      </c>
      <c r="L62" s="21" t="s">
        <v>797</v>
      </c>
      <c r="M62" s="21" t="s">
        <v>798</v>
      </c>
      <c r="N62" s="21" t="s">
        <v>799</v>
      </c>
      <c r="O62" s="21" t="s">
        <v>800</v>
      </c>
      <c r="P62" s="21" t="s">
        <v>801</v>
      </c>
      <c r="Q62" s="21" t="s">
        <v>802</v>
      </c>
      <c r="R62" s="21" t="s">
        <v>803</v>
      </c>
      <c r="S62" s="21" t="s">
        <v>804</v>
      </c>
      <c r="T62" s="21" t="s">
        <v>805</v>
      </c>
      <c r="U62" s="21" t="s">
        <v>806</v>
      </c>
      <c r="V62" s="21" t="s">
        <v>807</v>
      </c>
      <c r="W62" s="21" t="s">
        <v>808</v>
      </c>
      <c r="X62" s="21" t="s">
        <v>809</v>
      </c>
      <c r="Y62" s="21" t="s">
        <v>810</v>
      </c>
      <c r="Z62" s="21" t="s">
        <v>811</v>
      </c>
      <c r="AA62" s="21" t="s">
        <v>812</v>
      </c>
      <c r="AB62" s="21" t="s">
        <v>813</v>
      </c>
      <c r="AC62" s="21" t="s">
        <v>814</v>
      </c>
      <c r="AD62" s="21" t="s">
        <v>815</v>
      </c>
      <c r="AE62" s="21" t="s">
        <v>816</v>
      </c>
      <c r="AF62" s="21" t="s">
        <v>817</v>
      </c>
      <c r="AG62" s="21" t="s">
        <v>818</v>
      </c>
    </row>
    <row r="64" spans="1:33" ht="42">
      <c r="B64" s="3" t="s">
        <v>83</v>
      </c>
      <c r="C64" s="3" t="s">
        <v>727</v>
      </c>
      <c r="D64" s="3" t="s">
        <v>728</v>
      </c>
      <c r="E64" s="3" t="s">
        <v>729</v>
      </c>
      <c r="F64" s="3" t="s">
        <v>730</v>
      </c>
      <c r="G64" s="3" t="s">
        <v>441</v>
      </c>
      <c r="H64" s="3" t="s">
        <v>621</v>
      </c>
      <c r="I64" s="3" t="s">
        <v>626</v>
      </c>
      <c r="J64" s="3" t="s">
        <v>731</v>
      </c>
      <c r="K64" s="3" t="s">
        <v>819</v>
      </c>
      <c r="L64" s="3" t="s">
        <v>820</v>
      </c>
      <c r="M64" s="3" t="s">
        <v>821</v>
      </c>
      <c r="N64" s="3" t="s">
        <v>822</v>
      </c>
      <c r="O64" s="3" t="s">
        <v>823</v>
      </c>
      <c r="P64" s="3" t="s">
        <v>824</v>
      </c>
      <c r="Q64" s="3" t="s">
        <v>825</v>
      </c>
      <c r="R64" s="3" t="s">
        <v>102</v>
      </c>
      <c r="S64" s="3" t="s">
        <v>826</v>
      </c>
      <c r="T64" s="3" t="s">
        <v>827</v>
      </c>
      <c r="U64" s="3" t="s">
        <v>828</v>
      </c>
      <c r="V64" s="3" t="s">
        <v>103</v>
      </c>
      <c r="W64" s="3" t="s">
        <v>829</v>
      </c>
      <c r="X64" s="3" t="s">
        <v>830</v>
      </c>
      <c r="Y64" s="3" t="s">
        <v>831</v>
      </c>
      <c r="Z64" s="3" t="s">
        <v>832</v>
      </c>
      <c r="AA64" s="3" t="s">
        <v>833</v>
      </c>
      <c r="AB64" s="3" t="s">
        <v>834</v>
      </c>
      <c r="AC64" s="3" t="s">
        <v>835</v>
      </c>
      <c r="AD64" s="3" t="s">
        <v>836</v>
      </c>
      <c r="AE64" s="3" t="s">
        <v>837</v>
      </c>
      <c r="AF64" s="3" t="s">
        <v>838</v>
      </c>
      <c r="AG64" s="3" t="s">
        <v>839</v>
      </c>
    </row>
    <row r="65" spans="1:34">
      <c r="A65" s="19">
        <v>1</v>
      </c>
      <c r="B65" s="27" t="str">
        <f>Results!B18</f>
        <v>Mr Full On</v>
      </c>
      <c r="C65" s="7">
        <f>Results!C18</f>
        <v>0</v>
      </c>
      <c r="D65" s="28">
        <f>Results!D18</f>
        <v>33.76</v>
      </c>
      <c r="E65" s="28">
        <f>Results!E18</f>
        <v>12.29</v>
      </c>
      <c r="F65" s="28">
        <f>Results!F18</f>
        <v>12.29</v>
      </c>
      <c r="G65" s="7">
        <f>Results!G18</f>
        <v>0</v>
      </c>
      <c r="H65" s="28">
        <f>Results!H18</f>
        <v>0</v>
      </c>
      <c r="I65" s="28">
        <f>Results!I18</f>
        <v>0</v>
      </c>
      <c r="J65" s="28">
        <f>Results!J18</f>
        <v>0</v>
      </c>
      <c r="K65" s="31">
        <f>0.01*'11'!B$17*Calc!D71*Results!E18</f>
        <v>224292.49999999997</v>
      </c>
      <c r="L65" s="22">
        <f>0.01*('11'!D$17-'935'!X7)*Results!C18*Calc!D71*('11'!B$17/('11'!B$17-'935'!W7))*'935'!P7</f>
        <v>0</v>
      </c>
      <c r="M65" s="22">
        <f>0.01*('11'!B$17-'935'!W7)*Results!D18</f>
        <v>123.22399999999999</v>
      </c>
      <c r="N65" s="22">
        <f>0.01*'11'!B$17*Calc!L71*Calc!J460</f>
        <v>0</v>
      </c>
      <c r="O65" s="22">
        <f>0.01*('11'!B$17-'935'!W7)*Calc!E460</f>
        <v>0</v>
      </c>
      <c r="P65" s="22">
        <f>0.01*Calc!G322*'935'!T7</f>
        <v>0</v>
      </c>
      <c r="Q65" s="31">
        <f>K65+L65+M65</f>
        <v>224415.72399999996</v>
      </c>
      <c r="R65" s="23">
        <f>'935'!Y7</f>
        <v>0</v>
      </c>
      <c r="S65" s="32">
        <f>Q65-R65</f>
        <v>224415.72399999996</v>
      </c>
      <c r="T65" s="33" t="str">
        <f>IF(R65,Q65/R65-1,"")</f>
        <v/>
      </c>
      <c r="U65" s="31">
        <f>N65+O65+P65</f>
        <v>0</v>
      </c>
      <c r="V65" s="23">
        <f>'935'!Z7</f>
        <v>0</v>
      </c>
      <c r="W65" s="32">
        <f>U65-V65</f>
        <v>0</v>
      </c>
      <c r="X65" s="33" t="str">
        <f>IF(V65,U65/V65-1,"")</f>
        <v/>
      </c>
      <c r="Y65" s="31">
        <f>0.01*('11'!B$17-'935'!W7)*Calc!B460</f>
        <v>123.22661200461815</v>
      </c>
      <c r="Z65" s="22">
        <f>0.01*'11'!B$17*Calc!D71*Calc!K460</f>
        <v>22902.064345677096</v>
      </c>
      <c r="AA65" s="22">
        <f>Calc!D71*MAX(Calc!C533,0-(Calc!B533+IF('935'!P7=0,0,(1-'935'!X7/'11'!D$17)*'11'!B$17/('11'!B$17-'935'!W7)*IF(Calc!D71=0,1,Calc!E71/Calc!D71)*Calc!B322)))*'11'!B$17*0.01*Calc!B$430/Calc!G$505</f>
        <v>14461.10384427568</v>
      </c>
      <c r="AB65" s="22">
        <f>Calc!D71*Calc!J$430*Calc!G346</f>
        <v>26748.854002427695</v>
      </c>
      <c r="AC65" s="22">
        <f>Calc!D71*MAX(Calc!C533,0-(Calc!B533+IF('935'!P7=0,0,(1-'935'!X7/'11'!D$17)*'11'!B$17/('11'!B$17-'935'!W7)*IF(Calc!D71=0,1,Calc!E71/Calc!D71)*Calc!B322)))*'11'!B$17*0.01*Calc!C$430/Calc!G$505</f>
        <v>15154.349796323002</v>
      </c>
      <c r="AD65" s="22">
        <f>0.01*(Calc!E71*'11'!B$17*Calc!C322+Calc!D71*Calc!C346*'935'!P7*('11'!D$17-'935'!X7)*('11'!B$17/('11'!B$17-'935'!W7)))</f>
        <v>0</v>
      </c>
      <c r="AE65" s="22">
        <f>Calc!D71*Calc!F$505*(Calc!D$100+Calc!B126)</f>
        <v>14842.169914612547</v>
      </c>
      <c r="AF65" s="22">
        <f>Calc!D71*MAX(Calc!C533,0-(Calc!B533+IF('935'!P7=0,0,(1-'935'!X7/'11'!D$17)*'11'!B$17/('11'!B$17-'935'!W7)*IF(Calc!D71=0,1,Calc!E71/Calc!D71)*Calc!B322)))*'11'!B$17*0.01*(1-(Calc!C$430+Calc!B$430)/Calc!G$505)</f>
        <v>130153.45188752862</v>
      </c>
      <c r="AG65" s="22">
        <f>Q65-Y65-Z65-AA65-AB65-AC65-AD65-AE65-AF65</f>
        <v>30.503597150731366</v>
      </c>
      <c r="AH65" s="10"/>
    </row>
    <row r="66" spans="1:34">
      <c r="A66" s="19">
        <v>2</v>
      </c>
      <c r="B66" s="27" t="str">
        <f>Results!B19</f>
        <v>Mr Load Manager</v>
      </c>
      <c r="C66" s="7">
        <f>Results!C19</f>
        <v>0</v>
      </c>
      <c r="D66" s="28">
        <f>Results!D19</f>
        <v>33.76</v>
      </c>
      <c r="E66" s="28">
        <f>Results!E19</f>
        <v>2.35</v>
      </c>
      <c r="F66" s="28">
        <f>Results!F19</f>
        <v>2.35</v>
      </c>
      <c r="G66" s="7">
        <f>Results!G19</f>
        <v>0</v>
      </c>
      <c r="H66" s="28">
        <f>Results!H19</f>
        <v>0</v>
      </c>
      <c r="I66" s="28">
        <f>Results!I19</f>
        <v>0</v>
      </c>
      <c r="J66" s="28">
        <f>Results!J19</f>
        <v>0</v>
      </c>
      <c r="K66" s="31">
        <f>0.01*'11'!B$17*Calc!D72*Results!E19</f>
        <v>42887.5</v>
      </c>
      <c r="L66" s="22">
        <f>0.01*('11'!D$17-'935'!X8)*Results!C19*Calc!D72*('11'!B$17/('11'!B$17-'935'!W8))*'935'!P8</f>
        <v>0</v>
      </c>
      <c r="M66" s="22">
        <f>0.01*('11'!B$17-'935'!W8)*Results!D19</f>
        <v>123.22399999999999</v>
      </c>
      <c r="N66" s="22">
        <f>0.01*'11'!B$17*Calc!L72*Calc!J461</f>
        <v>0</v>
      </c>
      <c r="O66" s="22">
        <f>0.01*('11'!B$17-'935'!W8)*Calc!E461</f>
        <v>0</v>
      </c>
      <c r="P66" s="22">
        <f>0.01*Calc!G323*'935'!T8</f>
        <v>0</v>
      </c>
      <c r="Q66" s="31">
        <f>K66+L66+M66</f>
        <v>43010.724000000002</v>
      </c>
      <c r="R66" s="23">
        <f>'935'!Y8</f>
        <v>0</v>
      </c>
      <c r="S66" s="32">
        <f>Q66-R66</f>
        <v>43010.724000000002</v>
      </c>
      <c r="T66" s="33" t="str">
        <f>IF(R66,Q66/R66-1,"")</f>
        <v/>
      </c>
      <c r="U66" s="31">
        <f>N66+O66+P66</f>
        <v>0</v>
      </c>
      <c r="V66" s="23">
        <f>'935'!Z8</f>
        <v>0</v>
      </c>
      <c r="W66" s="32">
        <f>U66-V66</f>
        <v>0</v>
      </c>
      <c r="X66" s="33" t="str">
        <f>IF(V66,U66/V66-1,"")</f>
        <v/>
      </c>
      <c r="Y66" s="31">
        <f>0.01*('11'!B$17-'935'!W8)*Calc!B461</f>
        <v>123.22661200461815</v>
      </c>
      <c r="Z66" s="22">
        <f>0.01*'11'!B$17*Calc!D72*Calc!K461</f>
        <v>254.46738161863439</v>
      </c>
      <c r="AA66" s="22">
        <f>Calc!D72*MAX(Calc!C534,0-(Calc!B534+IF('935'!P8=0,0,(1-'935'!X8/'11'!D$17)*'11'!B$17/('11'!B$17-'935'!W8)*IF(Calc!D72=0,1,Calc!E72/Calc!D72)*Calc!B323)))*'11'!B$17*0.01*Calc!B$430/Calc!G$505</f>
        <v>2491.3075369150074</v>
      </c>
      <c r="AB66" s="22">
        <f>Calc!D72*Calc!J$430*Calc!G347</f>
        <v>9744.2253865986604</v>
      </c>
      <c r="AC66" s="22">
        <f>Calc!D72*MAX(Calc!C534,0-(Calc!B534+IF('935'!P8=0,0,(1-'935'!X8/'11'!D$17)*'11'!B$17/('11'!B$17-'935'!W8)*IF(Calc!D72=0,1,Calc!E72/Calc!D72)*Calc!B323)))*'11'!B$17*0.01*Calc!C$430/Calc!G$505</f>
        <v>2610.7374838865153</v>
      </c>
      <c r="AD66" s="22">
        <f>0.01*(Calc!E72*'11'!B$17*Calc!C323+Calc!D72*Calc!C347*'935'!P8*('11'!D$17-'935'!X8)*('11'!B$17/('11'!B$17-'935'!W8)))</f>
        <v>0</v>
      </c>
      <c r="AE66" s="22">
        <f>Calc!D72*Calc!F$505*(Calc!D$100+Calc!B127)</f>
        <v>5406.7904688945709</v>
      </c>
      <c r="AF66" s="22">
        <f>Calc!D72*MAX(Calc!C534,0-(Calc!B534+IF('935'!P8=0,0,(1-'935'!X8/'11'!D$17)*'11'!B$17/('11'!B$17-'935'!W8)*IF(Calc!D72=0,1,Calc!E72/Calc!D72)*Calc!B323)))*'11'!B$17*0.01*(1-(Calc!C$430+Calc!B$430)/Calc!G$505)</f>
        <v>22422.37377828233</v>
      </c>
      <c r="AG66" s="22">
        <f>Q66-Y66-Z66-AA66-AB66-AC66-AD66-AE66-AF66</f>
        <v>-42.404648200335942</v>
      </c>
      <c r="AH66" s="10"/>
    </row>
    <row r="67" spans="1:34">
      <c r="A67" s="19">
        <v>3</v>
      </c>
      <c r="B67" s="27" t="str">
        <f>Results!B20</f>
        <v>Mr Generator</v>
      </c>
      <c r="C67" s="7">
        <f>Results!C20</f>
        <v>0</v>
      </c>
      <c r="D67" s="28">
        <f>Results!D20</f>
        <v>16.09</v>
      </c>
      <c r="E67" s="28">
        <f>Results!E20</f>
        <v>2.2799999999999998</v>
      </c>
      <c r="F67" s="28">
        <f>Results!F20</f>
        <v>2.2799999999999998</v>
      </c>
      <c r="G67" s="7">
        <f>Results!G20</f>
        <v>0</v>
      </c>
      <c r="H67" s="28">
        <f>Results!H20</f>
        <v>32.18</v>
      </c>
      <c r="I67" s="28">
        <f>Results!I20</f>
        <v>0.08</v>
      </c>
      <c r="J67" s="28">
        <f>Results!J20</f>
        <v>0.08</v>
      </c>
      <c r="K67" s="31">
        <f>0.01*'11'!B$17*Calc!D73*Results!E20</f>
        <v>41610</v>
      </c>
      <c r="L67" s="22">
        <f>0.01*('11'!D$17-'935'!X9)*Results!C20*Calc!D73*('11'!B$17/('11'!B$17-'935'!W9))*'935'!P9</f>
        <v>0</v>
      </c>
      <c r="M67" s="22">
        <f>0.01*('11'!B$17-'935'!W9)*Results!D20</f>
        <v>58.728499999999997</v>
      </c>
      <c r="N67" s="22">
        <f>0.01*'11'!B$17*Calc!L73*Calc!J462</f>
        <v>2920</v>
      </c>
      <c r="O67" s="22">
        <f>0.01*('11'!B$17-'935'!W9)*Calc!E462</f>
        <v>117.45699999999999</v>
      </c>
      <c r="P67" s="22">
        <f>0.01*Calc!G324*'935'!T9</f>
        <v>0</v>
      </c>
      <c r="Q67" s="31">
        <f>K67+L67+M67</f>
        <v>41668.728499999997</v>
      </c>
      <c r="R67" s="23">
        <f>'935'!Y9</f>
        <v>0</v>
      </c>
      <c r="S67" s="32">
        <f>Q67-R67</f>
        <v>41668.728499999997</v>
      </c>
      <c r="T67" s="33" t="str">
        <f>IF(R67,Q67/R67-1,"")</f>
        <v/>
      </c>
      <c r="U67" s="31">
        <f>N67+O67+P67</f>
        <v>3037.4569999999999</v>
      </c>
      <c r="V67" s="23">
        <f>'935'!Z9</f>
        <v>0</v>
      </c>
      <c r="W67" s="32">
        <f>U67-V67</f>
        <v>3037.4569999999999</v>
      </c>
      <c r="X67" s="33" t="str">
        <f>IF(V67,U67/V67-1,"")</f>
        <v/>
      </c>
      <c r="Y67" s="31">
        <f>0.01*('11'!B$17-'935'!W9)*Calc!B462</f>
        <v>58.730885762364473</v>
      </c>
      <c r="Z67" s="22">
        <f>0.01*'11'!B$17*Calc!D73*Calc!K462</f>
        <v>2544.6738161863441</v>
      </c>
      <c r="AA67" s="22">
        <f>Calc!D73*MAX(Calc!C535,0-(Calc!B535+IF('935'!P9=0,0,(1-'935'!X9/'11'!D$17)*'11'!B$17/('11'!B$17-'935'!W9)*IF(Calc!D73=0,1,Calc!E73/Calc!D73)*Calc!B324)))*'11'!B$17*0.01*Calc!B$430/Calc!G$505</f>
        <v>1921.9729673713282</v>
      </c>
      <c r="AB67" s="22">
        <f>Calc!D73*Calc!J$430*Calc!G348</f>
        <v>11463.794572469013</v>
      </c>
      <c r="AC67" s="22">
        <f>Calc!D73*MAX(Calc!C535,0-(Calc!B535+IF('935'!P9=0,0,(1-'935'!X9/'11'!D$17)*'11'!B$17/('11'!B$17-'935'!W9)*IF(Calc!D73=0,1,Calc!E73/Calc!D73)*Calc!B324)))*'11'!B$17*0.01*Calc!C$430/Calc!G$505</f>
        <v>2014.1097775292867</v>
      </c>
      <c r="AD67" s="22">
        <f>0.01*(Calc!E73*'11'!B$17*Calc!C324+Calc!D73*Calc!C348*'935'!P9*('11'!D$17-'935'!X9)*('11'!B$17/('11'!B$17-'935'!W9)))</f>
        <v>0</v>
      </c>
      <c r="AE67" s="22">
        <f>Calc!D73*Calc!F$505*(Calc!D$100+Calc!B128)</f>
        <v>6360.9299634053777</v>
      </c>
      <c r="AF67" s="22">
        <f>Calc!D73*MAX(Calc!C535,0-(Calc!B535+IF('935'!P9=0,0,(1-'935'!X9/'11'!D$17)*'11'!B$17/('11'!B$17-'935'!W9)*IF(Calc!D73=0,1,Calc!E73/Calc!D73)*Calc!B324)))*'11'!B$17*0.01*(1-(Calc!C$430+Calc!B$430)/Calc!G$505)</f>
        <v>17298.224176497795</v>
      </c>
      <c r="AG67" s="22">
        <f>Q67-Y67-Z67-AA67-AB67-AC67-AD67-AE67-AF67</f>
        <v>6.2923407784801384</v>
      </c>
      <c r="AH67" s="10"/>
    </row>
    <row r="69" spans="1:34" ht="21" customHeight="1">
      <c r="A69" s="1" t="s">
        <v>840</v>
      </c>
    </row>
    <row r="70" spans="1:34">
      <c r="A70" s="2" t="s">
        <v>112</v>
      </c>
    </row>
    <row r="71" spans="1:34">
      <c r="A71" s="12" t="s">
        <v>841</v>
      </c>
    </row>
    <row r="72" spans="1:34">
      <c r="A72" s="12" t="s">
        <v>842</v>
      </c>
    </row>
    <row r="73" spans="1:34">
      <c r="A73" s="12" t="s">
        <v>843</v>
      </c>
    </row>
    <row r="74" spans="1:34">
      <c r="A74" s="12" t="s">
        <v>844</v>
      </c>
    </row>
    <row r="75" spans="1:34">
      <c r="A75" s="21" t="s">
        <v>125</v>
      </c>
      <c r="B75" s="21" t="s">
        <v>845</v>
      </c>
      <c r="C75" s="21" t="s">
        <v>846</v>
      </c>
      <c r="D75" s="21" t="s">
        <v>846</v>
      </c>
      <c r="E75" s="21" t="s">
        <v>126</v>
      </c>
    </row>
    <row r="76" spans="1:34">
      <c r="A76" s="21" t="s">
        <v>129</v>
      </c>
      <c r="B76" s="21" t="s">
        <v>726</v>
      </c>
      <c r="C76" s="21" t="s">
        <v>847</v>
      </c>
      <c r="D76" s="21" t="s">
        <v>848</v>
      </c>
      <c r="E76" s="21" t="s">
        <v>849</v>
      </c>
    </row>
    <row r="78" spans="1:34" ht="28">
      <c r="B78" s="3" t="s">
        <v>850</v>
      </c>
      <c r="C78" s="3" t="s">
        <v>851</v>
      </c>
      <c r="D78" s="3" t="s">
        <v>852</v>
      </c>
      <c r="E78" s="3" t="s">
        <v>853</v>
      </c>
    </row>
    <row r="79" spans="1:34" ht="28">
      <c r="A79" s="11" t="s">
        <v>853</v>
      </c>
      <c r="B79" s="24"/>
      <c r="C79" s="22">
        <f>SUM(Q$65:Q$67)</f>
        <v>309095.17649999994</v>
      </c>
      <c r="D79" s="22">
        <f>SUM(U$65:U$67)</f>
        <v>3037.4569999999999</v>
      </c>
      <c r="E79" s="22">
        <f>C79+D79</f>
        <v>312132.63349999994</v>
      </c>
      <c r="F79" s="10"/>
    </row>
  </sheetData>
  <sheetProtection sheet="1" objects="1" scenarios="1"/>
  <hyperlinks>
    <hyperlink ref="A5" location="'Results'!B17" display="x1 = 4501. Name (in Tariff data) (copy) (in EDCM charge)"/>
    <hyperlink ref="A6" location="'Results'!C17" display="x2 = 4501. Import super-red unit rate (p/kWh) (in EDCM charge)"/>
    <hyperlink ref="A7" location="'Results'!D17" display="x3 = 4501. Import fixed charge (p/day) (in EDCM charge)"/>
    <hyperlink ref="A8" location="'Results'!E17" display="x4 = 4501. Import capacity rate (p/kVA/day) (in EDCM charge)"/>
    <hyperlink ref="A9" location="'Results'!F17" display="x5 = 4501. Import exceeded capacity rate (p/kVA/day) (in EDCM charge)"/>
    <hyperlink ref="A10" location="'Results'!G17" display="x6 = 4501. Export super-red unit rate (p/kWh) (copy) (in EDCM charge)"/>
    <hyperlink ref="A11" location="'Results'!H17" display="x7 = 4501. Export fixed charge p/day (copy) (in EDCM charge)"/>
    <hyperlink ref="A12" location="'Results'!I17" display="x8 = 4501. Export capacity rate (p/kVA/day) (copy) (in EDCM charge)"/>
    <hyperlink ref="A13" location="'Results'!J17" display="x9 = 4501. Export exceeded capacity rate (p/kVA/day) (in EDCM charge)"/>
    <hyperlink ref="A14" location="'11'!B16" display="x10 = 1113. Days in year (in General inputs)"/>
    <hyperlink ref="A15" location="'Calc'!D70" display="x11 = 4012. Maximum import capacity adjusted for part-year (kVA)"/>
    <hyperlink ref="A16" location="'11'!D16" display="x12 = 1113. Annual hours in super red (in General inputs)"/>
    <hyperlink ref="A17" location="'935'!X6" display="x13 = 935. Hours in super-red for which not a customer (in Tariff data)"/>
    <hyperlink ref="A18" location="'935'!W6" display="x14 = 935. Days for which not a customer (in Tariff data)"/>
    <hyperlink ref="A19" location="'935'!P6" display="x15 = 935. Super red kW import divided by kVA capacity (in Tariff data)"/>
    <hyperlink ref="A20" location="'Calc'!L70" display="x16 = 4012. Chargeable export capacity adjusted for part-year (kVA)"/>
    <hyperlink ref="A21" location="'Calc'!J459" display="x17 = 4044. Export capacity rate (p/kVA/day)"/>
    <hyperlink ref="A22" location="'Calc'!E459" display="x18 = 4044. Export fixed charge p/day"/>
    <hyperlink ref="A23" location="'Calc'!G321" display="x19 = 4036. Export super-red unit rate (p/kWh)"/>
    <hyperlink ref="A24" location="'935'!T6" display="x20 = 935. Super red units exported (kWh) (in Tariff data)"/>
    <hyperlink ref="A25" location="'HSummary'!K64" display="x21 = Capacity charge for demand (£/year) (in Horizontal information)"/>
    <hyperlink ref="A26" location="'HSummary'!L64" display="x22 = Super red charge for demand (£/year) (in Horizontal information)"/>
    <hyperlink ref="A27" location="'HSummary'!M64" display="x23 = Fixed charge for demand (£/year) (in Horizontal information)"/>
    <hyperlink ref="A28" location="'935'!Y6" display="x24 = 935. Import charge in previous charging year (£/year) (in Tariff data)"/>
    <hyperlink ref="A29" location="'HSummary'!Q64" display="x25 = Total for demand (£/year) (in Horizontal information)"/>
    <hyperlink ref="A30" location="'HSummary'!R64" display="x26 = Import charge in previous charging year (£/year) (in Tariff data) (copy) (in Horizontal information)"/>
    <hyperlink ref="A31" location="'HSummary'!N64" display="x27 = Net capacity charge (or credit) for generation (£/year) (in Horizontal information)"/>
    <hyperlink ref="A32" location="'HSummary'!O64" display="x28 = Fixed charge for generation (£/year) (in Horizontal information)"/>
    <hyperlink ref="A33" location="'HSummary'!P64" display="x29 = Super red credit (£/year) (in Horizontal information)"/>
    <hyperlink ref="A34" location="'935'!Z6" display="x30 = 935. Export charge in previous charging year (£/year) (in Tariff data)"/>
    <hyperlink ref="A35" location="'HSummary'!U64" display="x31 = Total for generation (£/year) (in Horizontal information)"/>
    <hyperlink ref="A36" location="'HSummary'!V64" display="x32 = Export charge in previous charging year (£/year) (in Tariff data) (copy) (in Horizontal information)"/>
    <hyperlink ref="A37" location="'Calc'!B459" display="x33 = 4044. Demand fixed charge p/day"/>
    <hyperlink ref="A38" location="'Calc'!K459" display="x34 = 4044. Capacity charge p/kVA/day (exit only)"/>
    <hyperlink ref="A39" location="'Calc'!C532" display="x35 = 4048. Demand scaling p/kVA/day"/>
    <hyperlink ref="A40" location="'Calc'!B532" display="x36 = 4048. Capacity charge after applying fixed adder ex indirects p/kVA/day"/>
    <hyperlink ref="A41" location="'Calc'!B321" display="x37 = 4036. Import demand charge p/kVA/day"/>
    <hyperlink ref="A42" location="'Calc'!E70" display="x38 = 4012. Non-DSM import capacity adjusted for part-year (kVA)"/>
    <hyperlink ref="A43" location="'Calc'!B429" display="x39 = 4042. Direct costs on EDCM demand except through sole use asset charges (£/year)"/>
    <hyperlink ref="A44" location="'Calc'!G504" display="x40 = 4046. Residual residual (£/year)"/>
    <hyperlink ref="A45" location="'Calc'!J429" display="x41 = 4042. Indirect costs application rate"/>
    <hyperlink ref="A46" location="'Calc'!G345" display="x42 = 4038. Data for capacity-based allocation of indirect costs"/>
    <hyperlink ref="A47" location="'Calc'!C429" display="x43 = 4042. Network rates on EDCM demand except through sole use asset charges (£/year)"/>
    <hyperlink ref="A48" location="'Calc'!C321" display="x44 = 4036. Import capacity charge p/kVA/day"/>
    <hyperlink ref="A49" location="'Calc'!C345" display="x45 = 4038. Super red unit rate adjusted for DSM (p/kWh)"/>
    <hyperlink ref="A50" location="'Calc'!F504" display="x46 = 4046. Fixed adder ex indirects application rate"/>
    <hyperlink ref="A51" location="'Calc'!D99" display="x47 = 4016. Factor for the allocation of capacity scaling"/>
    <hyperlink ref="A52" location="'Calc'!B125" display="x48 = 4018. Super red kW divided by kVA adjusted for part-year"/>
    <hyperlink ref="A53" location="'HSummary'!Y64" display="x49 = Fixed charge for demand (unrounded) (£/year) (in Horizontal information)"/>
    <hyperlink ref="A54" location="'HSummary'!Z64" display="x50 = Transmission exit charge (£/year) (in Horizontal information)"/>
    <hyperlink ref="A55" location="'HSummary'!AA64" display="x51 = Direct cost allocation (£/year) (in Horizontal information)"/>
    <hyperlink ref="A56" location="'HSummary'!AB64" display="x52 = Indirect cost allocation (£/year) (in Horizontal information)"/>
    <hyperlink ref="A57" location="'HSummary'!AC64" display="x53 = Network rates allocation (£/year) (in Horizontal information)"/>
    <hyperlink ref="A58" location="'HSummary'!AD64" display="x54 = FCP/LRIC charge (£/year) (in Horizontal information)"/>
    <hyperlink ref="A59" location="'HSummary'!AE64" display="x55 = Demand scaling fixed adder (£/year) (in Horizontal information)"/>
    <hyperlink ref="A60" location="'HSummary'!AF64" display="x56 = Demand scaling asset based (£/year) (in Horizontal information)"/>
    <hyperlink ref="A71" location="'HSummary'!Q64" display="x1 = 4601. Total for demand (£/year) (in Horizontal information)"/>
    <hyperlink ref="A72" location="'HSummary'!U64" display="x2 = 4601. Total for generation (£/year) (in Horizontal information)"/>
    <hyperlink ref="A73" location="'HSummary'!C78" display="x3 = Total for demand across all tariffs (£/year) (in Total for all tariffs (£/year))"/>
    <hyperlink ref="A74" location="'HSummary'!D78" display="x4 = Total for generation across all tariffs (£/year) (in Total for all tariffs (£/year)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06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4" x14ac:dyDescent="0"/>
  <cols>
    <col min="1" max="251" width="30.6640625" customWidth="1"/>
  </cols>
  <sheetData>
    <row r="1" spans="1:6" ht="21" customHeight="1">
      <c r="A1" s="1" t="str">
        <f>"Aggregates"&amp;" for "&amp;'11'!B7&amp;" in "&amp;'11'!C7&amp;" ("&amp;'11'!D7&amp;")"</f>
        <v>Aggregates for Illustrative DNO in 2013/2014 (DCP 183 worked example)</v>
      </c>
    </row>
    <row r="3" spans="1:6" ht="21" customHeight="1">
      <c r="A3" s="1" t="s">
        <v>854</v>
      </c>
    </row>
    <row r="4" spans="1:6">
      <c r="A4" s="2" t="s">
        <v>112</v>
      </c>
    </row>
    <row r="5" spans="1:6">
      <c r="A5" s="12" t="s">
        <v>855</v>
      </c>
    </row>
    <row r="6" spans="1:6">
      <c r="A6" s="12" t="s">
        <v>856</v>
      </c>
    </row>
    <row r="7" spans="1:6">
      <c r="A7" s="12" t="s">
        <v>857</v>
      </c>
    </row>
    <row r="8" spans="1:6">
      <c r="A8" s="12" t="s">
        <v>858</v>
      </c>
    </row>
    <row r="9" spans="1:6">
      <c r="A9" s="21" t="s">
        <v>125</v>
      </c>
      <c r="B9" s="21" t="s">
        <v>128</v>
      </c>
      <c r="C9" s="21" t="s">
        <v>128</v>
      </c>
      <c r="D9" s="21" t="s">
        <v>128</v>
      </c>
      <c r="E9" s="21" t="s">
        <v>128</v>
      </c>
    </row>
    <row r="10" spans="1:6">
      <c r="A10" s="21" t="s">
        <v>129</v>
      </c>
      <c r="B10" s="21" t="s">
        <v>718</v>
      </c>
      <c r="C10" s="21" t="s">
        <v>791</v>
      </c>
      <c r="D10" s="21" t="s">
        <v>792</v>
      </c>
      <c r="E10" s="21" t="s">
        <v>793</v>
      </c>
    </row>
    <row r="12" spans="1:6" ht="28">
      <c r="B12" s="3" t="s">
        <v>518</v>
      </c>
      <c r="C12" s="3" t="s">
        <v>581</v>
      </c>
      <c r="D12" s="3" t="s">
        <v>583</v>
      </c>
      <c r="E12" s="3" t="s">
        <v>580</v>
      </c>
    </row>
    <row r="13" spans="1:6">
      <c r="A13" s="11" t="s">
        <v>859</v>
      </c>
      <c r="B13" s="23">
        <f>Calc!G386</f>
        <v>266192.93660711398</v>
      </c>
      <c r="C13" s="23">
        <f>Calc!I430</f>
        <v>674540.65491252299</v>
      </c>
      <c r="D13" s="23">
        <f>Calc!K430</f>
        <v>674540.65491252602</v>
      </c>
      <c r="E13" s="23">
        <f>Calc!H430</f>
        <v>1067400.8349500101</v>
      </c>
      <c r="F13" s="10"/>
    </row>
    <row r="15" spans="1:6" ht="21" customHeight="1">
      <c r="A15" s="1" t="s">
        <v>860</v>
      </c>
    </row>
    <row r="16" spans="1:6">
      <c r="A16" s="2" t="s">
        <v>112</v>
      </c>
    </row>
    <row r="17" spans="1:6">
      <c r="A17" s="12" t="s">
        <v>861</v>
      </c>
    </row>
    <row r="18" spans="1:6">
      <c r="A18" s="12" t="s">
        <v>862</v>
      </c>
    </row>
    <row r="19" spans="1:6">
      <c r="A19" s="12" t="s">
        <v>863</v>
      </c>
    </row>
    <row r="20" spans="1:6">
      <c r="A20" s="12" t="s">
        <v>864</v>
      </c>
    </row>
    <row r="21" spans="1:6">
      <c r="A21" s="21" t="s">
        <v>125</v>
      </c>
      <c r="B21" s="21" t="s">
        <v>128</v>
      </c>
      <c r="C21" s="21" t="s">
        <v>128</v>
      </c>
      <c r="D21" s="21" t="s">
        <v>128</v>
      </c>
      <c r="E21" s="21" t="s">
        <v>128</v>
      </c>
    </row>
    <row r="22" spans="1:6">
      <c r="A22" s="21" t="s">
        <v>129</v>
      </c>
      <c r="B22" s="21" t="s">
        <v>718</v>
      </c>
      <c r="C22" s="21" t="s">
        <v>791</v>
      </c>
      <c r="D22" s="21" t="s">
        <v>792</v>
      </c>
      <c r="E22" s="21" t="s">
        <v>793</v>
      </c>
    </row>
    <row r="24" spans="1:6" ht="42">
      <c r="B24" s="3" t="s">
        <v>576</v>
      </c>
      <c r="C24" s="3" t="s">
        <v>577</v>
      </c>
      <c r="D24" s="3" t="s">
        <v>578</v>
      </c>
      <c r="E24" s="3" t="s">
        <v>669</v>
      </c>
    </row>
    <row r="25" spans="1:6">
      <c r="A25" s="11" t="s">
        <v>865</v>
      </c>
      <c r="B25" s="23">
        <f>Calc!D430</f>
        <v>476950</v>
      </c>
      <c r="C25" s="23">
        <f>Calc!E430</f>
        <v>170600</v>
      </c>
      <c r="D25" s="23">
        <f>Calc!F430</f>
        <v>276750</v>
      </c>
      <c r="E25" s="23">
        <f>Calc!B505</f>
        <v>-153982.458365812</v>
      </c>
      <c r="F25" s="10"/>
    </row>
    <row r="27" spans="1:6" ht="21" customHeight="1">
      <c r="A27" s="1" t="s">
        <v>866</v>
      </c>
    </row>
    <row r="28" spans="1:6">
      <c r="A28" s="2" t="s">
        <v>112</v>
      </c>
    </row>
    <row r="29" spans="1:6">
      <c r="A29" s="12" t="s">
        <v>867</v>
      </c>
    </row>
    <row r="30" spans="1:6">
      <c r="A30" s="12" t="s">
        <v>868</v>
      </c>
    </row>
    <row r="31" spans="1:6">
      <c r="A31" s="12" t="s">
        <v>869</v>
      </c>
    </row>
    <row r="32" spans="1:6">
      <c r="A32" s="12" t="s">
        <v>870</v>
      </c>
    </row>
    <row r="33" spans="1:7">
      <c r="A33" s="12" t="s">
        <v>871</v>
      </c>
    </row>
    <row r="34" spans="1:7">
      <c r="A34" s="21" t="s">
        <v>125</v>
      </c>
      <c r="B34" s="21" t="s">
        <v>128</v>
      </c>
      <c r="C34" s="21" t="s">
        <v>128</v>
      </c>
      <c r="D34" s="21" t="s">
        <v>128</v>
      </c>
      <c r="E34" s="21" t="s">
        <v>128</v>
      </c>
      <c r="F34" s="21" t="s">
        <v>128</v>
      </c>
    </row>
    <row r="35" spans="1:7">
      <c r="A35" s="21" t="s">
        <v>129</v>
      </c>
      <c r="B35" s="21" t="s">
        <v>718</v>
      </c>
      <c r="C35" s="21" t="s">
        <v>791</v>
      </c>
      <c r="D35" s="21" t="s">
        <v>792</v>
      </c>
      <c r="E35" s="21" t="s">
        <v>793</v>
      </c>
      <c r="F35" s="21" t="s">
        <v>794</v>
      </c>
    </row>
    <row r="37" spans="1:7" ht="28">
      <c r="B37" s="3" t="s">
        <v>513</v>
      </c>
      <c r="C37" s="3" t="s">
        <v>516</v>
      </c>
      <c r="D37" s="3" t="s">
        <v>514</v>
      </c>
      <c r="E37" s="3" t="s">
        <v>515</v>
      </c>
      <c r="F37" s="3" t="s">
        <v>584</v>
      </c>
    </row>
    <row r="38" spans="1:7">
      <c r="A38" s="11" t="s">
        <v>872</v>
      </c>
      <c r="B38" s="23">
        <f>Calc!B386</f>
        <v>22339603.554531898</v>
      </c>
      <c r="C38" s="23">
        <f>Calc!E386</f>
        <v>10691707.2168703</v>
      </c>
      <c r="D38" s="23">
        <f>Calc!C386</f>
        <v>92215007.236532897</v>
      </c>
      <c r="E38" s="23">
        <f>Calc!D386</f>
        <v>11205904.6322494</v>
      </c>
      <c r="F38" s="23">
        <f>Calc!L430</f>
        <v>101305496.08757401</v>
      </c>
      <c r="G38" s="10"/>
    </row>
    <row r="40" spans="1:7" ht="21" customHeight="1">
      <c r="A40" s="1" t="s">
        <v>873</v>
      </c>
    </row>
    <row r="41" spans="1:7">
      <c r="A41" s="2" t="s">
        <v>112</v>
      </c>
    </row>
    <row r="42" spans="1:7">
      <c r="A42" s="12" t="s">
        <v>874</v>
      </c>
    </row>
    <row r="43" spans="1:7">
      <c r="A43" s="2" t="s">
        <v>875</v>
      </c>
    </row>
    <row r="45" spans="1:7" ht="28">
      <c r="B45" s="3" t="s">
        <v>876</v>
      </c>
    </row>
    <row r="46" spans="1:7" ht="28">
      <c r="A46" s="11" t="s">
        <v>876</v>
      </c>
      <c r="B46" s="23">
        <f>Calc!C505</f>
        <v>13691862.554957112</v>
      </c>
      <c r="C46" s="10"/>
    </row>
    <row r="48" spans="1:7" ht="21" customHeight="1">
      <c r="A48" s="1" t="s">
        <v>877</v>
      </c>
    </row>
    <row r="49" spans="1:3">
      <c r="A49" s="2" t="s">
        <v>112</v>
      </c>
    </row>
    <row r="50" spans="1:3">
      <c r="A50" s="12" t="s">
        <v>878</v>
      </c>
    </row>
    <row r="51" spans="1:3">
      <c r="A51" s="2" t="s">
        <v>875</v>
      </c>
    </row>
    <row r="53" spans="1:3" ht="28">
      <c r="B53" s="3" t="s">
        <v>879</v>
      </c>
    </row>
    <row r="54" spans="1:3" ht="28">
      <c r="A54" s="11" t="s">
        <v>879</v>
      </c>
      <c r="B54" s="23">
        <f>Calc!F386</f>
        <v>136452222.64018449</v>
      </c>
      <c r="C54" s="10"/>
    </row>
    <row r="56" spans="1:3" ht="21" customHeight="1">
      <c r="A56" s="1" t="s">
        <v>880</v>
      </c>
    </row>
    <row r="57" spans="1:3">
      <c r="A57" s="2" t="s">
        <v>112</v>
      </c>
    </row>
    <row r="58" spans="1:3">
      <c r="A58" s="12" t="s">
        <v>881</v>
      </c>
    </row>
    <row r="59" spans="1:3">
      <c r="A59" s="2" t="s">
        <v>875</v>
      </c>
    </row>
    <row r="61" spans="1:3" ht="28">
      <c r="B61" s="3" t="s">
        <v>882</v>
      </c>
    </row>
    <row r="62" spans="1:3" ht="28">
      <c r="A62" s="11" t="s">
        <v>882</v>
      </c>
      <c r="B62" s="23">
        <f>Calc!E33</f>
        <v>325235493.127316</v>
      </c>
      <c r="C62" s="10"/>
    </row>
    <row r="64" spans="1:3" ht="21" customHeight="1">
      <c r="A64" s="1" t="s">
        <v>883</v>
      </c>
    </row>
    <row r="65" spans="1:3">
      <c r="A65" s="2" t="s">
        <v>112</v>
      </c>
    </row>
    <row r="66" spans="1:3">
      <c r="A66" s="12" t="s">
        <v>884</v>
      </c>
    </row>
    <row r="67" spans="1:3">
      <c r="A67" s="2" t="s">
        <v>875</v>
      </c>
    </row>
    <row r="69" spans="1:3" ht="28">
      <c r="B69" s="3" t="s">
        <v>885</v>
      </c>
    </row>
    <row r="70" spans="1:3" ht="28">
      <c r="A70" s="11" t="s">
        <v>885</v>
      </c>
      <c r="B70" s="23">
        <f>Calc!C33</f>
        <v>795605859.12149537</v>
      </c>
      <c r="C70" s="10"/>
    </row>
    <row r="72" spans="1:3" ht="21" customHeight="1">
      <c r="A72" s="1" t="s">
        <v>886</v>
      </c>
    </row>
    <row r="73" spans="1:3">
      <c r="A73" s="2" t="s">
        <v>112</v>
      </c>
    </row>
    <row r="74" spans="1:3">
      <c r="A74" s="12" t="s">
        <v>887</v>
      </c>
    </row>
    <row r="75" spans="1:3">
      <c r="A75" s="2" t="s">
        <v>875</v>
      </c>
    </row>
    <row r="77" spans="1:3" ht="28">
      <c r="B77" s="3" t="s">
        <v>888</v>
      </c>
    </row>
    <row r="78" spans="1:3" ht="28">
      <c r="A78" s="11" t="s">
        <v>888</v>
      </c>
      <c r="B78" s="23">
        <f>Calc!D33</f>
        <v>1153525900.6269779</v>
      </c>
      <c r="C78" s="10"/>
    </row>
    <row r="80" spans="1:3" ht="21" customHeight="1">
      <c r="A80" s="1" t="s">
        <v>889</v>
      </c>
    </row>
    <row r="81" spans="1:3">
      <c r="A81" s="2" t="s">
        <v>112</v>
      </c>
    </row>
    <row r="82" spans="1:3">
      <c r="A82" s="12" t="s">
        <v>890</v>
      </c>
    </row>
    <row r="83" spans="1:3">
      <c r="A83" s="2" t="s">
        <v>875</v>
      </c>
    </row>
    <row r="85" spans="1:3">
      <c r="B85" s="3" t="s">
        <v>9</v>
      </c>
    </row>
    <row r="86" spans="1:3" ht="28">
      <c r="A86" s="11" t="s">
        <v>891</v>
      </c>
      <c r="B86" s="23">
        <f>Calc!F33</f>
        <v>1742552.0684659299</v>
      </c>
      <c r="C86" s="10"/>
    </row>
    <row r="88" spans="1:3" ht="21" customHeight="1">
      <c r="A88" s="1" t="s">
        <v>892</v>
      </c>
    </row>
    <row r="89" spans="1:3">
      <c r="A89" s="2" t="s">
        <v>112</v>
      </c>
    </row>
    <row r="90" spans="1:3">
      <c r="A90" s="12" t="s">
        <v>893</v>
      </c>
    </row>
    <row r="91" spans="1:3">
      <c r="A91" s="2" t="s">
        <v>875</v>
      </c>
    </row>
    <row r="93" spans="1:3">
      <c r="B93" s="3" t="s">
        <v>9</v>
      </c>
    </row>
    <row r="94" spans="1:3" ht="28">
      <c r="A94" s="11" t="s">
        <v>894</v>
      </c>
      <c r="B94" s="23">
        <f>Calc!H386</f>
        <v>2008745.005073044</v>
      </c>
      <c r="C94" s="10"/>
    </row>
    <row r="96" spans="1:3" ht="21" customHeight="1">
      <c r="A96" s="1" t="s">
        <v>895</v>
      </c>
    </row>
    <row r="97" spans="1:3">
      <c r="A97" s="2" t="s">
        <v>112</v>
      </c>
    </row>
    <row r="98" spans="1:3">
      <c r="A98" s="12" t="s">
        <v>896</v>
      </c>
    </row>
    <row r="99" spans="1:3">
      <c r="A99" s="2" t="s">
        <v>875</v>
      </c>
    </row>
    <row r="101" spans="1:3" ht="28">
      <c r="B101" s="3" t="s">
        <v>897</v>
      </c>
    </row>
    <row r="102" spans="1:3" ht="28">
      <c r="A102" s="11" t="s">
        <v>897</v>
      </c>
      <c r="B102" s="7">
        <f>Calc!I386</f>
        <v>4.9315384034619072</v>
      </c>
      <c r="C102" s="10"/>
    </row>
    <row r="104" spans="1:3" ht="21" customHeight="1">
      <c r="A104" s="1" t="s">
        <v>898</v>
      </c>
    </row>
    <row r="105" spans="1:3">
      <c r="A105" s="2" t="s">
        <v>112</v>
      </c>
    </row>
    <row r="106" spans="1:3">
      <c r="A106" s="12" t="s">
        <v>899</v>
      </c>
    </row>
    <row r="107" spans="1:3">
      <c r="A107" s="2" t="s">
        <v>875</v>
      </c>
    </row>
    <row r="109" spans="1:3" ht="28">
      <c r="B109" s="3" t="s">
        <v>900</v>
      </c>
    </row>
    <row r="110" spans="1:3" ht="28">
      <c r="A110" s="11" t="s">
        <v>900</v>
      </c>
      <c r="B110" s="28">
        <f>Calc!G430</f>
        <v>7.9516660838114261E-2</v>
      </c>
      <c r="C110" s="10"/>
    </row>
    <row r="112" spans="1:3" ht="21" customHeight="1">
      <c r="A112" s="1" t="s">
        <v>901</v>
      </c>
    </row>
    <row r="113" spans="1:3">
      <c r="A113" s="2" t="s">
        <v>112</v>
      </c>
    </row>
    <row r="114" spans="1:3">
      <c r="A114" s="12" t="s">
        <v>527</v>
      </c>
    </row>
    <row r="115" spans="1:3">
      <c r="A115" s="2" t="s">
        <v>875</v>
      </c>
    </row>
    <row r="117" spans="1:3">
      <c r="B117" s="3" t="s">
        <v>902</v>
      </c>
    </row>
    <row r="118" spans="1:3">
      <c r="A118" s="11" t="s">
        <v>902</v>
      </c>
      <c r="B118" s="34">
        <f>Calc!J386</f>
        <v>6.1461742913787162E-3</v>
      </c>
      <c r="C118" s="10"/>
    </row>
    <row r="120" spans="1:3" ht="21" customHeight="1">
      <c r="A120" s="1" t="s">
        <v>903</v>
      </c>
    </row>
    <row r="121" spans="1:3">
      <c r="A121" s="2" t="s">
        <v>112</v>
      </c>
    </row>
    <row r="122" spans="1:3">
      <c r="A122" s="12" t="s">
        <v>904</v>
      </c>
    </row>
    <row r="123" spans="1:3">
      <c r="A123" s="2" t="s">
        <v>875</v>
      </c>
    </row>
    <row r="125" spans="1:3" ht="28">
      <c r="B125" s="3" t="s">
        <v>905</v>
      </c>
    </row>
    <row r="126" spans="1:3" ht="28">
      <c r="A126" s="11" t="s">
        <v>905</v>
      </c>
      <c r="B126" s="34">
        <f>Calc!K386</f>
        <v>6.4408136559775831E-3</v>
      </c>
      <c r="C126" s="10"/>
    </row>
    <row r="128" spans="1:3" ht="21" customHeight="1">
      <c r="A128" s="1" t="s">
        <v>906</v>
      </c>
    </row>
    <row r="129" spans="1:3">
      <c r="A129" s="2" t="s">
        <v>112</v>
      </c>
    </row>
    <row r="130" spans="1:3">
      <c r="A130" s="12" t="s">
        <v>907</v>
      </c>
    </row>
    <row r="131" spans="1:3">
      <c r="A131" s="2" t="s">
        <v>875</v>
      </c>
    </row>
    <row r="133" spans="1:3" ht="28">
      <c r="B133" s="3" t="s">
        <v>908</v>
      </c>
    </row>
    <row r="134" spans="1:3" ht="28">
      <c r="A134" s="11" t="s">
        <v>908</v>
      </c>
      <c r="B134" s="34">
        <f>Calc!L386</f>
        <v>2.0496087272614996E-2</v>
      </c>
      <c r="C134" s="10"/>
    </row>
    <row r="136" spans="1:3" ht="21" customHeight="1">
      <c r="A136" s="1" t="s">
        <v>909</v>
      </c>
    </row>
    <row r="137" spans="1:3">
      <c r="A137" s="2" t="s">
        <v>112</v>
      </c>
    </row>
    <row r="138" spans="1:3">
      <c r="A138" s="12" t="s">
        <v>910</v>
      </c>
    </row>
    <row r="139" spans="1:3">
      <c r="A139" s="2" t="s">
        <v>875</v>
      </c>
    </row>
    <row r="141" spans="1:3" ht="42">
      <c r="B141" s="3" t="s">
        <v>911</v>
      </c>
    </row>
    <row r="142" spans="1:3" ht="42">
      <c r="A142" s="11" t="s">
        <v>911</v>
      </c>
      <c r="B142" s="23">
        <f>Calc!B430</f>
        <v>635642.94971885369</v>
      </c>
      <c r="C142" s="10"/>
    </row>
    <row r="144" spans="1:3" ht="21" customHeight="1">
      <c r="A144" s="1" t="s">
        <v>912</v>
      </c>
    </row>
    <row r="145" spans="1:3">
      <c r="A145" s="2" t="s">
        <v>112</v>
      </c>
    </row>
    <row r="146" spans="1:3">
      <c r="A146" s="12" t="s">
        <v>913</v>
      </c>
    </row>
    <row r="147" spans="1:3">
      <c r="A147" s="2" t="s">
        <v>875</v>
      </c>
    </row>
    <row r="149" spans="1:3" ht="28">
      <c r="B149" s="3" t="s">
        <v>914</v>
      </c>
    </row>
    <row r="150" spans="1:3" ht="28">
      <c r="A150" s="11" t="s">
        <v>914</v>
      </c>
      <c r="B150" s="23">
        <f>Calc!M386</f>
        <v>2577598.4995652917</v>
      </c>
      <c r="C150" s="10"/>
    </row>
    <row r="152" spans="1:3" ht="21" customHeight="1">
      <c r="A152" s="1" t="s">
        <v>915</v>
      </c>
    </row>
    <row r="153" spans="1:3">
      <c r="A153" s="2" t="s">
        <v>112</v>
      </c>
    </row>
    <row r="154" spans="1:3">
      <c r="A154" s="12" t="s">
        <v>916</v>
      </c>
    </row>
    <row r="155" spans="1:3">
      <c r="A155" s="2" t="s">
        <v>875</v>
      </c>
    </row>
    <row r="157" spans="1:3" ht="28">
      <c r="B157" s="3" t="s">
        <v>917</v>
      </c>
    </row>
    <row r="158" spans="1:3" ht="28">
      <c r="A158" s="11" t="s">
        <v>917</v>
      </c>
      <c r="B158" s="23">
        <f>Calc!D505</f>
        <v>11030532.709709208</v>
      </c>
      <c r="C158" s="10"/>
    </row>
    <row r="160" spans="1:3" ht="21" customHeight="1">
      <c r="A160" s="1" t="s">
        <v>918</v>
      </c>
    </row>
    <row r="161" spans="1:3">
      <c r="A161" s="2" t="s">
        <v>112</v>
      </c>
    </row>
    <row r="162" spans="1:3">
      <c r="A162" s="12" t="s">
        <v>919</v>
      </c>
    </row>
    <row r="163" spans="1:3">
      <c r="A163" s="2" t="s">
        <v>875</v>
      </c>
    </row>
    <row r="165" spans="1:3" ht="42">
      <c r="B165" s="3" t="s">
        <v>920</v>
      </c>
    </row>
    <row r="166" spans="1:3" ht="42">
      <c r="A166" s="11" t="s">
        <v>920</v>
      </c>
      <c r="B166" s="23">
        <f>Calc!C430</f>
        <v>666114.82147810713</v>
      </c>
      <c r="C166" s="10"/>
    </row>
    <row r="168" spans="1:3" ht="21" customHeight="1">
      <c r="A168" s="1" t="s">
        <v>921</v>
      </c>
    </row>
    <row r="169" spans="1:3">
      <c r="A169" s="2" t="s">
        <v>112</v>
      </c>
    </row>
    <row r="170" spans="1:3">
      <c r="A170" s="12" t="s">
        <v>922</v>
      </c>
    </row>
    <row r="171" spans="1:3">
      <c r="A171" s="2" t="s">
        <v>875</v>
      </c>
    </row>
    <row r="173" spans="1:3" ht="28">
      <c r="B173" s="3" t="s">
        <v>923</v>
      </c>
    </row>
    <row r="174" spans="1:3" ht="28">
      <c r="A174" s="11" t="s">
        <v>923</v>
      </c>
      <c r="B174" s="23">
        <f>Calc!G505</f>
        <v>7022698.9223545259</v>
      </c>
      <c r="C174" s="10"/>
    </row>
    <row r="176" spans="1:3" ht="21" customHeight="1">
      <c r="A176" s="1" t="s">
        <v>924</v>
      </c>
    </row>
    <row r="177" spans="1:3">
      <c r="A177" s="2" t="s">
        <v>112</v>
      </c>
    </row>
    <row r="178" spans="1:3">
      <c r="A178" s="12" t="s">
        <v>925</v>
      </c>
    </row>
    <row r="179" spans="1:3">
      <c r="A179" s="2" t="s">
        <v>875</v>
      </c>
    </row>
    <row r="181" spans="1:3">
      <c r="B181" s="3" t="s">
        <v>926</v>
      </c>
    </row>
    <row r="182" spans="1:3">
      <c r="A182" s="11" t="s">
        <v>926</v>
      </c>
      <c r="B182" s="34">
        <f>Calc!H505</f>
        <v>6.9321993313015529E-2</v>
      </c>
      <c r="C182" s="10"/>
    </row>
    <row r="184" spans="1:3" ht="21" customHeight="1">
      <c r="A184" s="1" t="s">
        <v>927</v>
      </c>
    </row>
    <row r="185" spans="1:3">
      <c r="A185" s="2" t="s">
        <v>112</v>
      </c>
    </row>
    <row r="186" spans="1:3">
      <c r="A186" s="12" t="s">
        <v>928</v>
      </c>
    </row>
    <row r="187" spans="1:3">
      <c r="A187" s="2" t="s">
        <v>875</v>
      </c>
    </row>
    <row r="189" spans="1:3" ht="42">
      <c r="B189" s="3" t="s">
        <v>929</v>
      </c>
    </row>
    <row r="190" spans="1:3" ht="42">
      <c r="A190" s="11" t="s">
        <v>929</v>
      </c>
      <c r="B190" s="23">
        <f>Calc!E505</f>
        <v>7151176.4389469558</v>
      </c>
      <c r="C190" s="10"/>
    </row>
    <row r="192" spans="1:3" ht="21" customHeight="1">
      <c r="A192" s="1" t="s">
        <v>930</v>
      </c>
    </row>
    <row r="193" spans="1:3">
      <c r="A193" s="2" t="s">
        <v>112</v>
      </c>
    </row>
    <row r="194" spans="1:3">
      <c r="A194" s="12" t="s">
        <v>931</v>
      </c>
    </row>
    <row r="195" spans="1:3">
      <c r="A195" s="2" t="s">
        <v>875</v>
      </c>
    </row>
    <row r="197" spans="1:3" ht="28">
      <c r="B197" s="3" t="s">
        <v>932</v>
      </c>
    </row>
    <row r="198" spans="1:3" ht="28">
      <c r="A198" s="11" t="s">
        <v>932</v>
      </c>
      <c r="B198" s="7">
        <f>Calc!F505</f>
        <v>2.1203099878017926</v>
      </c>
      <c r="C198" s="10"/>
    </row>
    <row r="200" spans="1:3" ht="21" customHeight="1">
      <c r="A200" s="1" t="s">
        <v>933</v>
      </c>
    </row>
    <row r="201" spans="1:3">
      <c r="A201" s="2" t="s">
        <v>112</v>
      </c>
    </row>
    <row r="202" spans="1:3">
      <c r="A202" s="12" t="s">
        <v>934</v>
      </c>
    </row>
    <row r="203" spans="1:3">
      <c r="A203" s="2" t="s">
        <v>875</v>
      </c>
    </row>
    <row r="205" spans="1:3" ht="28">
      <c r="B205" s="3" t="s">
        <v>935</v>
      </c>
    </row>
    <row r="206" spans="1:3" ht="28">
      <c r="A206" s="11" t="s">
        <v>935</v>
      </c>
      <c r="B206" s="7">
        <f>Calc!J430</f>
        <v>3.821264857489671</v>
      </c>
      <c r="C206" s="10"/>
    </row>
  </sheetData>
  <sheetProtection sheet="1" objects="1" scenarios="1"/>
  <hyperlinks>
    <hyperlink ref="A5" location="'Calc'!G385" display="x1 = 4040. Total EDCM peak time consumption (kW)"/>
    <hyperlink ref="A6" location="'Calc'!I429" display="x2 = 4042. Total marginal effect of indirect cost adder"/>
    <hyperlink ref="A7" location="'Calc'!K429" display="x3 = 4042. Total marginal revenue effect of demand adder"/>
    <hyperlink ref="A8" location="'Calc'!H429" display="x4 = 4042. Revenue from demand charge 1 (£/year)"/>
    <hyperlink ref="A17" location="'Calc'!D429" display="x1 = 4042. Chargeable export capacity adjusted for part-year (kVA) (total)"/>
    <hyperlink ref="A18" location="'Calc'!E429" display="x2 = 4042. Non-exempt 2005-2010 export capacity (kVA) adjusted for part-year (total)"/>
    <hyperlink ref="A19" location="'Calc'!F429" display="x3 = 4042. Non-exempt post-2010 export capacity (kVA) adjusted for part-year (total)"/>
    <hyperlink ref="A20" location="'Calc'!B504" display="x4 = 4046. Net forecast EDCM generation revenue (£/year)"/>
    <hyperlink ref="A29" location="'Calc'!B385" display="x1 = 4040. Total sole use assets for demand (£)"/>
    <hyperlink ref="A30" location="'Calc'!E385" display="x2 = 4040. Total sole use assets for generation (£)"/>
    <hyperlink ref="A31" location="'Calc'!C385" display="x3 = 4040. Capacity assets (£)"/>
    <hyperlink ref="A32" location="'Calc'!D385" display="x4 = 4040. Consumption assets (£)"/>
    <hyperlink ref="A33" location="'Calc'!L429" display="x5 = 4042. Total non sole use notional assets subject to matching (£)"/>
    <hyperlink ref="A42" location="'Calc'!C504" display="x1 = 4046. Demand revenue target pot (£/year)"/>
    <hyperlink ref="A50" location="'Calc'!F385" display="x1 = 4040. All notional assets in EDCM (£)"/>
    <hyperlink ref="A58" location="'Calc'!E32" display="x1 = 4008. HV and LV service assets in CDCM model (£)"/>
    <hyperlink ref="A66" location="'Calc'!C32" display="x1 = 4008. EHV assets in CDCM model (£)"/>
    <hyperlink ref="A74" location="'Calc'!D32" display="x1 = 4008. HV and LV network assets in CDCM model (£)"/>
    <hyperlink ref="A82" location="'Calc'!F32" display="x1 = 4008. Total CDCM peak time consumption (kW)"/>
    <hyperlink ref="A90" location="'Calc'!H385" display="x1 = 4040. Estimated total peak-time consumption (kW)"/>
    <hyperlink ref="A98" location="'Calc'!I385" display="x1 = 4040. Transmission exit charging rate (£/kW/year)"/>
    <hyperlink ref="A106" location="'Calc'!G429" display="x1 = 4042. Export capacity charge p/kVA/day"/>
    <hyperlink ref="A114" location="'Calc'!J385" display="x1 = 4040. Direct cost charging rate"/>
    <hyperlink ref="A122" location="'Calc'!K385" display="x1 = 4040. Network rates charging rate"/>
    <hyperlink ref="A130" location="'Calc'!L385" display="x1 = 4040. Indirect cost charging rate"/>
    <hyperlink ref="A138" location="'Calc'!B429" display="x1 = 4042. Direct costs on EDCM demand except through sole use asset charges (£/year)"/>
    <hyperlink ref="A146" location="'Calc'!M385" display="x1 = 4040. Indirect costs on EDCM demand (£/year)"/>
    <hyperlink ref="A154" location="'Calc'!D504" display="x1 = 4046. Additional amount to be recovered (£/year)"/>
    <hyperlink ref="A162" location="'Calc'!C429" display="x1 = 4042. Network rates on EDCM demand except through sole use asset charges (£/year)"/>
    <hyperlink ref="A170" location="'Calc'!G504" display="x1 = 4046. Residual residual (£/year)"/>
    <hyperlink ref="A178" location="'Calc'!H504" display="x1 = 4046. Annual charge on assets"/>
    <hyperlink ref="A186" location="'Calc'!E504" display="x1 = 4046. Amount to be recovered from adders ex costs (£/year)"/>
    <hyperlink ref="A194" location="'Calc'!F504" display="x1 = 4046. Fixed adder ex indirects application rate"/>
    <hyperlink ref="A202" location="'Calc'!J429" display="x1 = 4042. Indirect costs application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11</vt:lpstr>
      <vt:lpstr>913</vt:lpstr>
      <vt:lpstr>935</vt:lpstr>
      <vt:lpstr>Calc</vt:lpstr>
      <vt:lpstr>Results</vt:lpstr>
      <vt:lpstr>HSummary</vt:lpstr>
      <vt:lpstr>Aggregates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Franck Latrémolière (Reckon)</cp:lastModifiedBy>
  <dcterms:created xsi:type="dcterms:W3CDTF">2014-10-06T07:58:31Z</dcterms:created>
  <dcterms:modified xsi:type="dcterms:W3CDTF">2014-10-06T11:44:52Z</dcterms:modified>
</cp:coreProperties>
</file>